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media/image3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ертификация продукции" sheetId="1" state="visible" r:id="rId3"/>
  </sheets>
  <definedNames>
    <definedName function="false" hidden="false" localSheetId="0" name="_xlnm.Print_Area" vbProcedure="false">'сертификация продукции'!$B$15:$P$511</definedName>
    <definedName function="false" hidden="false" localSheetId="0" name="_xlnm.Print_Titles" vbProcedure="false">'сертификация продукции'!$2:$14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<sst xmlns="http://schemas.openxmlformats.org/spreadsheetml/2006/main" count="1270" uniqueCount="320">
  <si>
    <t xml:space="preserve">сертификация продукции</t>
  </si>
  <si>
    <t xml:space="preserve">название</t>
  </si>
  <si>
    <t xml:space="preserve">аналоги</t>
  </si>
  <si>
    <t xml:space="preserve">код ТН ВЭД ЕАЭС</t>
  </si>
  <si>
    <t xml:space="preserve">номер декларации или справки</t>
  </si>
  <si>
    <t xml:space="preserve">период действия</t>
  </si>
  <si>
    <t xml:space="preserve">датчики автомобильные</t>
  </si>
  <si>
    <t xml:space="preserve">•</t>
  </si>
  <si>
    <t xml:space="preserve">новая продукция</t>
  </si>
  <si>
    <t xml:space="preserve">ММ 111 В</t>
  </si>
  <si>
    <t xml:space="preserve">9026 20 800 0</t>
  </si>
  <si>
    <t xml:space="preserve">10.09.2024</t>
  </si>
  <si>
    <t xml:space="preserve">09.09.2028</t>
  </si>
  <si>
    <t xml:space="preserve">ММ 111 Д</t>
  </si>
  <si>
    <t xml:space="preserve">6002.3829,</t>
  </si>
  <si>
    <t xml:space="preserve">6012.3829</t>
  </si>
  <si>
    <t xml:space="preserve">ДАДМ-03 и др.</t>
  </si>
  <si>
    <t xml:space="preserve">3702.3829, ММ106</t>
  </si>
  <si>
    <t xml:space="preserve">3602.3829, ММ126</t>
  </si>
  <si>
    <t xml:space="preserve">ММ 120 Д</t>
  </si>
  <si>
    <t xml:space="preserve">1118.3829 </t>
  </si>
  <si>
    <t xml:space="preserve">1118.3829</t>
  </si>
  <si>
    <t xml:space="preserve">FAE 12703</t>
  </si>
  <si>
    <t xml:space="preserve">VERNET OS3603, ASAM 32017, STELLOX 06-08022-SX</t>
  </si>
  <si>
    <t xml:space="preserve">VS-OE 1900</t>
  </si>
  <si>
    <t xml:space="preserve">AOOS015, 6336-008</t>
  </si>
  <si>
    <t xml:space="preserve">PV10001523</t>
  </si>
  <si>
    <t xml:space="preserve">ММ 124 Д (⬡ 22)</t>
  </si>
  <si>
    <t xml:space="preserve">ММ 124 Д (⬡ 27),</t>
  </si>
  <si>
    <t xml:space="preserve">ВП124</t>
  </si>
  <si>
    <t xml:space="preserve">ДАДВ</t>
  </si>
  <si>
    <t xml:space="preserve">ММ 125 Д (⬡ 22)</t>
  </si>
  <si>
    <t xml:space="preserve">ММ 125 Д (⬡ 27)</t>
  </si>
  <si>
    <t xml:space="preserve">ММ 125 Д (⬡ 27),</t>
  </si>
  <si>
    <t xml:space="preserve">ВП125</t>
  </si>
  <si>
    <t xml:space="preserve">12.220</t>
  </si>
  <si>
    <t xml:space="preserve">в блистерной упаковке</t>
  </si>
  <si>
    <t xml:space="preserve">3408606, 2897690,</t>
  </si>
  <si>
    <t xml:space="preserve">3054615</t>
  </si>
  <si>
    <t xml:space="preserve">3408607</t>
  </si>
  <si>
    <t xml:space="preserve">2897709,</t>
  </si>
  <si>
    <t xml:space="preserve">3066439</t>
  </si>
  <si>
    <t xml:space="preserve">ТМ 106</t>
  </si>
  <si>
    <t xml:space="preserve">27.3828</t>
  </si>
  <si>
    <t xml:space="preserve">191.3847</t>
  </si>
  <si>
    <t xml:space="preserve">9029 20 310 9</t>
  </si>
  <si>
    <t xml:space="preserve">21.04.2023</t>
  </si>
  <si>
    <t xml:space="preserve">20.04.2027</t>
  </si>
  <si>
    <t xml:space="preserve">51.3843, 343.3843</t>
  </si>
  <si>
    <t xml:space="preserve">356.3843, 35172.04, 41.3843</t>
  </si>
  <si>
    <t xml:space="preserve">ДУ-1</t>
  </si>
  <si>
    <t xml:space="preserve">ДУ-3</t>
  </si>
  <si>
    <t xml:space="preserve">ДУ-2</t>
  </si>
  <si>
    <t xml:space="preserve">21083-3839210-03</t>
  </si>
  <si>
    <t xml:space="preserve">21.3847</t>
  </si>
  <si>
    <t xml:space="preserve">датчики оборотов и скорости</t>
  </si>
  <si>
    <t xml:space="preserve">СТРМ.453624.005</t>
  </si>
  <si>
    <t xml:space="preserve">СТРМ.453624.005-01</t>
  </si>
  <si>
    <t xml:space="preserve">3039524</t>
  </si>
  <si>
    <t xml:space="preserve">ПД8093-7</t>
  </si>
  <si>
    <t xml:space="preserve">(A63R42.3843010), 342.3843, A63R42.3843010-02</t>
  </si>
  <si>
    <t xml:space="preserve">0501210855</t>
  </si>
  <si>
    <t xml:space="preserve">0501210856</t>
  </si>
  <si>
    <t xml:space="preserve">0501210857</t>
  </si>
  <si>
    <t xml:space="preserve">0501210859</t>
  </si>
  <si>
    <t xml:space="preserve">WABCO 4410371210</t>
  </si>
  <si>
    <t xml:space="preserve">выключатели автомобильные</t>
  </si>
  <si>
    <t xml:space="preserve">ВК 412</t>
  </si>
  <si>
    <t xml:space="preserve">8536 50 190 6</t>
  </si>
  <si>
    <t xml:space="preserve">26.03.2024</t>
  </si>
  <si>
    <t xml:space="preserve">25.03.2028</t>
  </si>
  <si>
    <t xml:space="preserve">15.3720</t>
  </si>
  <si>
    <t xml:space="preserve">211.3720</t>
  </si>
  <si>
    <t xml:space="preserve">21.3720</t>
  </si>
  <si>
    <t xml:space="preserve">21.3720-01</t>
  </si>
  <si>
    <t xml:space="preserve">ВК-418,12-3,12-5,ВЗХ</t>
  </si>
  <si>
    <t xml:space="preserve">ВК 415, ВК 12-2</t>
  </si>
  <si>
    <t xml:space="preserve">13.3720</t>
  </si>
  <si>
    <t xml:space="preserve">55.3710, ВЗХ-4</t>
  </si>
  <si>
    <t xml:space="preserve">ВЗХ-7</t>
  </si>
  <si>
    <t xml:space="preserve">ВЗХ-9</t>
  </si>
  <si>
    <t xml:space="preserve">3163-3710070</t>
  </si>
  <si>
    <t xml:space="preserve">ВК 12-21</t>
  </si>
  <si>
    <t xml:space="preserve">ВК 12-41</t>
  </si>
  <si>
    <t xml:space="preserve">ВК 12-51,</t>
  </si>
  <si>
    <t xml:space="preserve">ЦИКС.642241.018</t>
  </si>
  <si>
    <t xml:space="preserve">ВК 12-71,</t>
  </si>
  <si>
    <t xml:space="preserve">ЦИКС.642241.026</t>
  </si>
  <si>
    <t xml:space="preserve">ВК 12-31, В14.3710,</t>
  </si>
  <si>
    <t xml:space="preserve">3302.371601</t>
  </si>
  <si>
    <t xml:space="preserve">ВК24-1 (⬡ 27)</t>
  </si>
  <si>
    <t xml:space="preserve">0501.331.660</t>
  </si>
  <si>
    <t xml:space="preserve">ВК 403, ВЗХ-2</t>
  </si>
  <si>
    <t xml:space="preserve">с винтом</t>
  </si>
  <si>
    <t xml:space="preserve">с болтом</t>
  </si>
  <si>
    <t xml:space="preserve">ВК 418 Д (⬡ 27)</t>
  </si>
  <si>
    <t xml:space="preserve">0501.219.858</t>
  </si>
  <si>
    <t xml:space="preserve">ВК24-5</t>
  </si>
  <si>
    <t xml:space="preserve">(ЦИКС.642241.021)</t>
  </si>
  <si>
    <t xml:space="preserve">ВК24-07</t>
  </si>
  <si>
    <t xml:space="preserve">ВК 12-4,</t>
  </si>
  <si>
    <t xml:space="preserve">15.3710</t>
  </si>
  <si>
    <t xml:space="preserve">ВЗХ-5 (ВЭЛКОНТ)</t>
  </si>
  <si>
    <t xml:space="preserve">датчики и выключатели для других отраслей</t>
  </si>
  <si>
    <t xml:space="preserve">Применяемость: сельхозтехника, железнодорожный транспорт, речной и морской флот, пневматические и гидравлические системы, снегоходы, садовая техника и т. д. Диапазон срабатывания у датчиков давления от 0,1 до 7,0 кг/см² по требованию заказчика.</t>
  </si>
  <si>
    <t xml:space="preserve">автоэлектроника — регуляторы напряжения</t>
  </si>
  <si>
    <t xml:space="preserve">Я112А с ЩУ</t>
  </si>
  <si>
    <t xml:space="preserve">8536 41 900 0</t>
  </si>
  <si>
    <t xml:space="preserve">19.04.2024</t>
  </si>
  <si>
    <t xml:space="preserve">18.04.2028</t>
  </si>
  <si>
    <t xml:space="preserve">41.3702 с ЩУ</t>
  </si>
  <si>
    <t xml:space="preserve">6015.3702А с ЩУ</t>
  </si>
  <si>
    <t xml:space="preserve">провод с клеммой Ø 6 мм</t>
  </si>
  <si>
    <t xml:space="preserve">Я112В1с ЩУ</t>
  </si>
  <si>
    <t xml:space="preserve">провод с разъёмом</t>
  </si>
  <si>
    <t xml:space="preserve">Я120М12И с ЩУ,</t>
  </si>
  <si>
    <t xml:space="preserve">Я120М12 с ЩУ</t>
  </si>
  <si>
    <t xml:space="preserve">Я120, 412.3702</t>
  </si>
  <si>
    <t xml:space="preserve">с увеличенным ресурсом в блистерной упаковке</t>
  </si>
  <si>
    <t xml:space="preserve">Я120М12,</t>
  </si>
  <si>
    <t xml:space="preserve">Я120М12И</t>
  </si>
  <si>
    <t xml:space="preserve">Я120М1И2</t>
  </si>
  <si>
    <t xml:space="preserve">121.3702М</t>
  </si>
  <si>
    <t xml:space="preserve">Я212А11</t>
  </si>
  <si>
    <t xml:space="preserve">в картонной коробке</t>
  </si>
  <si>
    <t xml:space="preserve">Я112А, 41.3702</t>
  </si>
  <si>
    <t xml:space="preserve">Я112А12</t>
  </si>
  <si>
    <t xml:space="preserve">Я112Б</t>
  </si>
  <si>
    <t xml:space="preserve">Я112Б1И2</t>
  </si>
  <si>
    <t xml:space="preserve">Я112В, 411.3702</t>
  </si>
  <si>
    <t xml:space="preserve">Я112В1,</t>
  </si>
  <si>
    <t xml:space="preserve">6015.3702A</t>
  </si>
  <si>
    <t xml:space="preserve">с увеличенным ресурсом</t>
  </si>
  <si>
    <t xml:space="preserve">РР-362 Б1</t>
  </si>
  <si>
    <t xml:space="preserve">44.3702</t>
  </si>
  <si>
    <t xml:space="preserve">РР-356</t>
  </si>
  <si>
    <t xml:space="preserve">13.3702-01</t>
  </si>
  <si>
    <t xml:space="preserve">Я212А11Е, 36.3702</t>
  </si>
  <si>
    <t xml:space="preserve">611.3702-03</t>
  </si>
  <si>
    <t xml:space="preserve">55.3702П</t>
  </si>
  <si>
    <t xml:space="preserve">8454.3702, 849.3702</t>
  </si>
  <si>
    <t xml:space="preserve">5102.3771060</t>
  </si>
  <si>
    <t xml:space="preserve">612.3702-06</t>
  </si>
  <si>
    <t xml:space="preserve">207.3702, 66.3702,</t>
  </si>
  <si>
    <t xml:space="preserve">4202.3702</t>
  </si>
  <si>
    <t xml:space="preserve">207.3702-10</t>
  </si>
  <si>
    <t xml:space="preserve">7302.3702</t>
  </si>
  <si>
    <t xml:space="preserve">Я112Т с узлом З-Л,</t>
  </si>
  <si>
    <t xml:space="preserve">68.3702</t>
  </si>
  <si>
    <t xml:space="preserve">7312.3702</t>
  </si>
  <si>
    <t xml:space="preserve">7342.3702</t>
  </si>
  <si>
    <t xml:space="preserve">7332.3702</t>
  </si>
  <si>
    <t xml:space="preserve">7352.3702</t>
  </si>
  <si>
    <t xml:space="preserve">7322.3702</t>
  </si>
  <si>
    <t xml:space="preserve">автоэлектроника — реле поворотов</t>
  </si>
  <si>
    <t xml:space="preserve">РС 951 А</t>
  </si>
  <si>
    <t xml:space="preserve">8536 41 100 0</t>
  </si>
  <si>
    <t xml:space="preserve">29.05.2024</t>
  </si>
  <si>
    <t xml:space="preserve">28.05.2028</t>
  </si>
  <si>
    <t xml:space="preserve">РП 3402.3777-22</t>
  </si>
  <si>
    <t xml:space="preserve">РПП-3.1-6К</t>
  </si>
  <si>
    <t xml:space="preserve">РПП-3.1-6К-01, ПЭУП-8</t>
  </si>
  <si>
    <t xml:space="preserve">ПЭУП-6М</t>
  </si>
  <si>
    <t xml:space="preserve">ПЭУП-7, ПЭУП-7М</t>
  </si>
  <si>
    <t xml:space="preserve">РП 24-01 Д</t>
  </si>
  <si>
    <t xml:space="preserve">493.3747, 495.3747</t>
  </si>
  <si>
    <t xml:space="preserve">ЭРП 1</t>
  </si>
  <si>
    <t xml:space="preserve">РС 950</t>
  </si>
  <si>
    <t xml:space="preserve">РС 950 П</t>
  </si>
  <si>
    <t xml:space="preserve">РС 950 Н</t>
  </si>
  <si>
    <t xml:space="preserve">РС 950 К</t>
  </si>
  <si>
    <t xml:space="preserve">РС 950 С </t>
  </si>
  <si>
    <t xml:space="preserve">712.3777-06,</t>
  </si>
  <si>
    <t xml:space="preserve">495.3747-03</t>
  </si>
  <si>
    <t xml:space="preserve">642.3747</t>
  </si>
  <si>
    <t xml:space="preserve">642.3747-01</t>
  </si>
  <si>
    <t xml:space="preserve">642.3747-02</t>
  </si>
  <si>
    <t xml:space="preserve">23.3747, 711.3777,</t>
  </si>
  <si>
    <t xml:space="preserve">32.3777</t>
  </si>
  <si>
    <t xml:space="preserve">87.3777</t>
  </si>
  <si>
    <t xml:space="preserve">642.3747-03</t>
  </si>
  <si>
    <t xml:space="preserve">9112.3777</t>
  </si>
  <si>
    <t xml:space="preserve">Hella 4AZ 001 879-021</t>
  </si>
  <si>
    <t xml:space="preserve">712.3777-07</t>
  </si>
  <si>
    <t xml:space="preserve">495.3747-10</t>
  </si>
  <si>
    <t xml:space="preserve">VD-SGD202 HIGER</t>
  </si>
  <si>
    <t xml:space="preserve">автоэлектроника — другие реле</t>
  </si>
  <si>
    <t xml:space="preserve">526.3747</t>
  </si>
  <si>
    <t xml:space="preserve">54.3777, 411.3777</t>
  </si>
  <si>
    <t xml:space="preserve">723.3777-01</t>
  </si>
  <si>
    <t xml:space="preserve">526.3747-04</t>
  </si>
  <si>
    <t xml:space="preserve">528.3747</t>
  </si>
  <si>
    <t xml:space="preserve">721.3777-01,</t>
  </si>
  <si>
    <t xml:space="preserve">413.377</t>
  </si>
  <si>
    <t xml:space="preserve">РСО 502.3747</t>
  </si>
  <si>
    <t xml:space="preserve">РСО 3502.3777</t>
  </si>
  <si>
    <t xml:space="preserve">461.3747</t>
  </si>
  <si>
    <t xml:space="preserve">46.3747</t>
  </si>
  <si>
    <t xml:space="preserve">РЭС-1М</t>
  </si>
  <si>
    <t xml:space="preserve">JD269A</t>
  </si>
  <si>
    <r>
      <rPr>
        <sz val="10"/>
        <color rgb="FF000000"/>
        <rFont val="Arial"/>
        <family val="2"/>
      </rPr>
      <t xml:space="preserve">526.3747-06</t>
    </r>
    <r>
      <rPr>
        <sz val="10"/>
        <color rgb="FF000000"/>
        <rFont val="Liberation Sans Narrow"/>
        <family val="2"/>
      </rPr>
      <t xml:space="preserve">, AEV2262</t>
    </r>
  </si>
  <si>
    <t xml:space="preserve">22.3777</t>
  </si>
  <si>
    <t xml:space="preserve">22.3777-01</t>
  </si>
  <si>
    <t xml:space="preserve">23.3777</t>
  </si>
  <si>
    <t xml:space="preserve">454.3747, 726.3777</t>
  </si>
  <si>
    <t xml:space="preserve">456.3747-02</t>
  </si>
  <si>
    <t xml:space="preserve">361.3787</t>
  </si>
  <si>
    <t xml:space="preserve">COBO 18.0124.0000</t>
  </si>
  <si>
    <t xml:space="preserve">451.3777</t>
  </si>
  <si>
    <t xml:space="preserve">392.3747, 523.3747</t>
  </si>
  <si>
    <t xml:space="preserve">РС 711-01</t>
  </si>
  <si>
    <t xml:space="preserve">4412.3777</t>
  </si>
  <si>
    <t xml:space="preserve">4452.3747 </t>
  </si>
  <si>
    <t xml:space="preserve">733.3747</t>
  </si>
  <si>
    <t xml:space="preserve">733.3747-10</t>
  </si>
  <si>
    <t xml:space="preserve">РСО 52.3761</t>
  </si>
  <si>
    <t xml:space="preserve">89.3777</t>
  </si>
  <si>
    <t xml:space="preserve">РС 514</t>
  </si>
  <si>
    <t xml:space="preserve">РС 431</t>
  </si>
  <si>
    <t xml:space="preserve">РБС 2602.3747</t>
  </si>
  <si>
    <t xml:space="preserve">РСЭ 8522.3777</t>
  </si>
  <si>
    <t xml:space="preserve">РБС 2612.3747</t>
  </si>
  <si>
    <t xml:space="preserve">7302.3777-01</t>
  </si>
  <si>
    <t xml:space="preserve">РБС 111.3733.000</t>
  </si>
  <si>
    <t xml:space="preserve">реле стартера</t>
  </si>
  <si>
    <t xml:space="preserve">738.3747</t>
  </si>
  <si>
    <t xml:space="preserve">738.3747-20</t>
  </si>
  <si>
    <t xml:space="preserve">738.3747-30</t>
  </si>
  <si>
    <t xml:space="preserve">71.3747</t>
  </si>
  <si>
    <t xml:space="preserve">71.3747-01</t>
  </si>
  <si>
    <t xml:space="preserve">71.3747-02</t>
  </si>
  <si>
    <t xml:space="preserve">71.3747-03</t>
  </si>
  <si>
    <t xml:space="preserve">71.3747-11</t>
  </si>
  <si>
    <t xml:space="preserve">71.3747-21</t>
  </si>
  <si>
    <t xml:space="preserve">YL368-A-24</t>
  </si>
  <si>
    <t xml:space="preserve">71.3747-111</t>
  </si>
  <si>
    <t xml:space="preserve">732.3747</t>
  </si>
  <si>
    <t xml:space="preserve">732.3747-10</t>
  </si>
  <si>
    <t xml:space="preserve">711.3747</t>
  </si>
  <si>
    <t xml:space="preserve">711.3747-01</t>
  </si>
  <si>
    <t xml:space="preserve">711.3747-02</t>
  </si>
  <si>
    <t xml:space="preserve">711.3747-11</t>
  </si>
  <si>
    <t xml:space="preserve">711.3747-111</t>
  </si>
  <si>
    <t xml:space="preserve">711.3747-131</t>
  </si>
  <si>
    <t xml:space="preserve">универсальные электромагнитные реле с плоскими выводами</t>
  </si>
  <si>
    <t xml:space="preserve">98.3747-011</t>
  </si>
  <si>
    <t xml:space="preserve">98.3747-111</t>
  </si>
  <si>
    <t xml:space="preserve">981.3747-01</t>
  </si>
  <si>
    <t xml:space="preserve">981.3747-11</t>
  </si>
  <si>
    <t xml:space="preserve">984.3747-10</t>
  </si>
  <si>
    <t xml:space="preserve">VF4-45H11-S05</t>
  </si>
  <si>
    <t xml:space="preserve">90.3747</t>
  </si>
  <si>
    <t xml:space="preserve">902.3747</t>
  </si>
  <si>
    <t xml:space="preserve">902.3747-РК</t>
  </si>
  <si>
    <t xml:space="preserve">90.3747-01</t>
  </si>
  <si>
    <t xml:space="preserve">902.3747-01</t>
  </si>
  <si>
    <t xml:space="preserve">904.3747</t>
  </si>
  <si>
    <t xml:space="preserve">906.3747</t>
  </si>
  <si>
    <t xml:space="preserve">90.3747-10</t>
  </si>
  <si>
    <t xml:space="preserve">902.3747-10</t>
  </si>
  <si>
    <t xml:space="preserve">90.3747-11</t>
  </si>
  <si>
    <t xml:space="preserve">902.3747-11</t>
  </si>
  <si>
    <t xml:space="preserve">904.3747-10</t>
  </si>
  <si>
    <t xml:space="preserve">906.3747-10</t>
  </si>
  <si>
    <t xml:space="preserve">901.3747</t>
  </si>
  <si>
    <t xml:space="preserve">901.3747 РК</t>
  </si>
  <si>
    <t xml:space="preserve">903.3747</t>
  </si>
  <si>
    <t xml:space="preserve">901.3747-01</t>
  </si>
  <si>
    <t xml:space="preserve">903.3747-01</t>
  </si>
  <si>
    <t xml:space="preserve">905.3747</t>
  </si>
  <si>
    <t xml:space="preserve">907.3747</t>
  </si>
  <si>
    <t xml:space="preserve">901.3747-10</t>
  </si>
  <si>
    <t xml:space="preserve">903.3747-10</t>
  </si>
  <si>
    <t xml:space="preserve">901.3747-11</t>
  </si>
  <si>
    <t xml:space="preserve">903.3747-11</t>
  </si>
  <si>
    <t xml:space="preserve">905.3747-10</t>
  </si>
  <si>
    <t xml:space="preserve">907.3747-10</t>
  </si>
  <si>
    <t xml:space="preserve">98.3777-21</t>
  </si>
  <si>
    <t xml:space="preserve">90.3747-21</t>
  </si>
  <si>
    <t xml:space="preserve">981.3777-21</t>
  </si>
  <si>
    <t xml:space="preserve">901.3747-21</t>
  </si>
  <si>
    <t xml:space="preserve">982.3777-21</t>
  </si>
  <si>
    <t xml:space="preserve">902.3747-21</t>
  </si>
  <si>
    <t xml:space="preserve">983.3777-21</t>
  </si>
  <si>
    <t xml:space="preserve">903.3747-21</t>
  </si>
  <si>
    <t xml:space="preserve">универсальные электромагнитные реле для автомобилей китайского производства</t>
  </si>
  <si>
    <t xml:space="preserve">YL-368-A-24 </t>
  </si>
  <si>
    <t xml:space="preserve">YL-368-A-24-R </t>
  </si>
  <si>
    <t xml:space="preserve">YL-398-А-24</t>
  </si>
  <si>
    <t xml:space="preserve">YL-398-А-24-R</t>
  </si>
  <si>
    <t xml:space="preserve">YL-398-C-12-R</t>
  </si>
  <si>
    <t xml:space="preserve">YL-398-C-24</t>
  </si>
  <si>
    <t xml:space="preserve">YL-398-C-24-R</t>
  </si>
  <si>
    <t xml:space="preserve">YL-309-А-24-R</t>
  </si>
  <si>
    <t xml:space="preserve">YL-309-C-24</t>
  </si>
  <si>
    <t xml:space="preserve">YL-309-C-24-R</t>
  </si>
  <si>
    <t xml:space="preserve">YL-314-А-24</t>
  </si>
  <si>
    <t xml:space="preserve">YL-314-А-24-D</t>
  </si>
  <si>
    <t xml:space="preserve">YL-314-C-24</t>
  </si>
  <si>
    <t xml:space="preserve">YL-314-C-24-D</t>
  </si>
  <si>
    <t xml:space="preserve">YL-314-C-24-R</t>
  </si>
  <si>
    <t xml:space="preserve">YL-315-С-12</t>
  </si>
  <si>
    <t xml:space="preserve">YL-315-С-24</t>
  </si>
  <si>
    <t xml:space="preserve">универсальные электромагнитные реле для монтажа на печатную плату</t>
  </si>
  <si>
    <t xml:space="preserve">TRAW-12VDC</t>
  </si>
  <si>
    <t xml:space="preserve">TRAW-24VDC</t>
  </si>
  <si>
    <t xml:space="preserve">другая продукция</t>
  </si>
  <si>
    <t xml:space="preserve">8708 91 990 9</t>
  </si>
  <si>
    <t xml:space="preserve">07.07.2026</t>
  </si>
  <si>
    <t xml:space="preserve">07.07.2027</t>
  </si>
  <si>
    <t xml:space="preserve">8545 20 000 9</t>
  </si>
  <si>
    <t xml:space="preserve">9026 90 000 0</t>
  </si>
  <si>
    <t xml:space="preserve">7320 20 810 8</t>
  </si>
  <si>
    <t xml:space="preserve">7320 20 850 8</t>
  </si>
  <si>
    <t xml:space="preserve">разработка новой продукции</t>
  </si>
  <si>
    <t xml:space="preserve">Мы разрабатываем новые модели датчиков, регуляторов напряжения и реле по техническому заданию заказчика. Между началом проектирования и запуском серийного производства проходит от 10 дней до двух месяцев. Все технологические этапы на нашем предприятии проводятся исключительно в собственных цехах, поэтому нам удаётся избавиться от многих накладных издержек и быть полностью уверенными в качестве продукции.</t>
  </si>
  <si>
    <t xml:space="preserve">Если вы задумываетесь о замене поставщика или ищете аналог импортного компонента, будем рады обсудить вашу задачу и решить её.</t>
  </si>
  <si>
    <t xml:space="preserve">версия от 24 августа 2026 года</t>
  </si>
  <si>
    <t xml:space="preserve">ячейки с названиями продукции — ссылки на страницы с описанием и фотографией</t>
  </si>
  <si>
    <t xml:space="preserve">ячейки с номерами деклараций — ссылки на запись в реестре Росаккредитации, ячейки со справкой — на её скан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</si>
</sst>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\ [$руб.-419];[RED]\-#,##0.00\ [$руб.-419]"/>
    <numFmt numFmtId="166" formatCode="[$-419]0.00"/>
    <numFmt numFmtId="167" formatCode="#.00"/>
    <numFmt numFmtId="168" formatCode="0.00"/>
  </numFmts>
  <fonts count="27">
    <font>
      <sz val="10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808080"/>
      <name val="Arial"/>
      <family val="2"/>
    </font>
    <font>
      <b val="true"/>
      <sz val="7"/>
      <color rgb="FF808080"/>
      <name val="Arial"/>
      <family val="2"/>
    </font>
    <font>
      <b val="true"/>
      <sz val="14"/>
      <name val="Arial"/>
      <family val="2"/>
    </font>
    <font>
      <sz val="10"/>
      <color rgb="FF666666"/>
      <name val="Arial"/>
      <family val="2"/>
    </font>
    <font>
      <b val="true"/>
      <sz val="10"/>
      <color rgb="FF000000"/>
      <name val="Arial"/>
      <family val="2"/>
    </font>
    <font>
      <u val="single"/>
      <sz val="10"/>
      <color rgb="FF0000CC"/>
      <name val="Arial"/>
      <family val="2"/>
    </font>
    <font>
      <i val="true"/>
      <sz val="10"/>
      <color rgb="FF808080"/>
      <name val="Arial"/>
      <family val="2"/>
    </font>
    <font>
      <sz val="7"/>
      <color rgb="FF808080"/>
      <name val="Arial"/>
      <family val="2"/>
    </font>
    <font>
      <b val="true"/>
      <sz val="16"/>
      <name val="Arial"/>
      <family val="2"/>
    </font>
    <font>
      <b val="true"/>
      <sz val="12.3"/>
      <name val="Arial"/>
      <family val="2"/>
    </font>
    <font>
      <b val="true"/>
      <sz val="18.5"/>
      <name val="Arial"/>
      <family val="2"/>
    </font>
    <font>
      <sz val="10"/>
      <name val="Arial"/>
      <family val="2"/>
    </font>
    <font>
      <b val="true"/>
      <sz val="20"/>
      <name val="Arial"/>
      <family val="2"/>
    </font>
    <font>
      <b val="true"/>
      <sz val="10"/>
      <name val="Arial"/>
      <family val="2"/>
    </font>
    <font>
      <sz val="10"/>
      <color rgb="FF808080"/>
      <name val="Arial"/>
      <family val="0"/>
    </font>
    <font>
      <sz val="10"/>
      <color rgb="FF000000"/>
      <name val="Liberation Sans Narrow"/>
      <family val="2"/>
    </font>
    <font>
      <sz val="9"/>
      <color rgb="FF000000"/>
      <name val="Arial"/>
      <family val="2"/>
    </font>
    <font>
      <sz val="10"/>
      <color rgb="FFB2B2B2"/>
      <name val="Arial"/>
      <family val="2"/>
    </font>
    <font>
      <sz val="10"/>
      <color rgb="FFCCCCCC"/>
      <name val="Arial"/>
      <family val="2"/>
    </font>
    <font>
      <b val="true"/>
      <u val="single"/>
      <sz val="10"/>
      <color rgb="FF000000"/>
      <name val="Arial"/>
      <family val="2"/>
    </font>
    <font>
      <sz val="10"/>
      <color rgb="FFDDDDDD"/>
      <name val="Arial"/>
      <family val="2"/>
    </font>
    <font>
      <sz val="10"/>
      <color rgb="FFEEEEEE"/>
      <name val="Arial"/>
      <family val="2"/>
    </font>
    <font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EEEEEE"/>
      </patternFill>
    </fill>
    <fill>
      <patternFill patternType="solid">
        <fgColor rgb="FFFAFAB3"/>
        <bgColor rgb="FFFFFF99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FF3333"/>
      </left>
      <right style="thin">
        <color rgb="FFFF3333"/>
      </right>
      <top/>
      <bottom style="thin">
        <color rgb="FFCCCCCC"/>
      </bottom>
      <diagonal/>
    </border>
    <border diagonalUp="false" diagonalDown="false">
      <left/>
      <right/>
      <top/>
      <bottom style="thin">
        <color rgb="FFCCCCCC"/>
      </bottom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>
        <color rgb="FFCCCCCC"/>
      </top>
      <bottom/>
      <diagonal/>
    </border>
  </borders>
  <cellStyleXfs count="47"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2" borderId="0" applyFont="true" applyBorder="true" applyAlignment="false" applyProtection="false"/>
    <xf numFmtId="164" fontId="0" fillId="2" borderId="0" applyFont="true" applyBorder="true" applyAlignment="false" applyProtection="false"/>
    <xf numFmtId="164" fontId="0" fillId="2" borderId="1" applyFont="true" applyBorder="true" applyAlignment="false" applyProtection="false"/>
    <xf numFmtId="164" fontId="0" fillId="2" borderId="2" applyFont="true" applyBorder="true" applyAlignment="true" applyProtection="false">
      <alignment horizontal="general" vertical="center" textRotation="0" wrapText="false" indent="0" shrinkToFit="false"/>
    </xf>
    <xf numFmtId="164" fontId="0" fillId="2" borderId="0" applyFont="true" applyBorder="true" applyAlignment="true" applyProtection="false">
      <alignment horizontal="general" vertical="bottom" textRotation="0" wrapText="false" indent="0" shrinkToFit="false"/>
    </xf>
    <xf numFmtId="164" fontId="0" fillId="2" borderId="0" applyFont="true" applyBorder="true" applyAlignment="true" applyProtection="false">
      <alignment horizontal="general" vertical="center" textRotation="0" wrapText="false" indent="0" shrinkToFit="false"/>
    </xf>
    <xf numFmtId="164" fontId="0" fillId="2" borderId="2" applyFont="true" applyBorder="true" applyAlignment="true" applyProtection="false">
      <alignment horizontal="general" vertical="top" textRotation="0" wrapText="false" indent="0" shrinkToFit="false"/>
    </xf>
    <xf numFmtId="164" fontId="4" fillId="2" borderId="0" applyFont="true" applyBorder="true" applyAlignment="false" applyProtection="false"/>
    <xf numFmtId="164" fontId="4" fillId="2" borderId="0" applyFont="true" applyBorder="true" applyAlignment="true" applyProtection="false">
      <alignment horizontal="left" vertical="center" textRotation="0" wrapText="false" indent="0" shrinkToFit="false"/>
    </xf>
    <xf numFmtId="164" fontId="4" fillId="2" borderId="0" applyFont="true" applyBorder="true" applyAlignment="true" applyProtection="false">
      <alignment horizontal="left" vertical="bottom" textRotation="0" wrapText="false" indent="0" shrinkToFit="false"/>
    </xf>
    <xf numFmtId="164" fontId="5" fillId="2" borderId="0" applyFont="true" applyBorder="true" applyAlignment="true" applyProtection="false">
      <alignment horizontal="general" vertical="center" textRotation="0" wrapText="false" indent="0" shrinkToFit="false"/>
    </xf>
    <xf numFmtId="164" fontId="4" fillId="2" borderId="0" applyFont="true" applyBorder="true" applyAlignment="true" applyProtection="false">
      <alignment horizontal="left" vertical="bottom" textRotation="0" wrapText="false" indent="0" shrinkToFit="false"/>
    </xf>
    <xf numFmtId="164" fontId="6" fillId="2" borderId="3" applyFont="true" applyBorder="true" applyAlignment="true" applyProtection="false">
      <alignment horizontal="left" vertical="center" textRotation="0" wrapText="false" indent="0" shrinkToFit="false"/>
    </xf>
    <xf numFmtId="164" fontId="7" fillId="2" borderId="2" applyFont="true" applyBorder="true" applyAlignment="true" applyProtection="false">
      <alignment horizontal="right" vertical="center" textRotation="0" wrapText="false" indent="0" shrinkToFit="false"/>
    </xf>
    <xf numFmtId="164" fontId="7" fillId="2" borderId="2" applyFont="true" applyBorder="true" applyAlignment="true" applyProtection="false">
      <alignment horizontal="right" vertical="top" textRotation="0" wrapText="false" indent="0" shrinkToFit="false"/>
    </xf>
    <xf numFmtId="164" fontId="0" fillId="2" borderId="0" applyFont="true" applyBorder="true" applyAlignment="true" applyProtection="false">
      <alignment horizontal="general" vertical="top" textRotation="0" wrapText="false" indent="0" shrinkToFit="false"/>
    </xf>
    <xf numFmtId="164" fontId="7" fillId="2" borderId="0" applyFont="true" applyBorder="true" applyAlignment="true" applyProtection="false">
      <alignment horizontal="right" vertical="bottom" textRotation="0" wrapText="false" indent="0" shrinkToFit="false"/>
    </xf>
    <xf numFmtId="164" fontId="0" fillId="2" borderId="0" applyFont="true" applyBorder="true" applyAlignment="false" applyProtection="false"/>
    <xf numFmtId="164" fontId="0" fillId="2" borderId="0" applyFont="true" applyBorder="true" applyAlignment="true" applyProtection="false">
      <alignment horizontal="right" vertical="bottom" textRotation="0" wrapText="false" indent="0" shrinkToFit="false"/>
    </xf>
    <xf numFmtId="164" fontId="8" fillId="2" borderId="0" applyFont="true" applyBorder="true" applyAlignment="false" applyProtection="false"/>
    <xf numFmtId="164" fontId="8" fillId="2" borderId="0" applyFont="true" applyBorder="true" applyAlignment="true" applyProtection="false">
      <alignment horizontal="right" vertical="bottom" textRotation="0" wrapText="false" indent="0" shrinkToFit="false"/>
    </xf>
    <xf numFmtId="164" fontId="0" fillId="2" borderId="0" applyFont="true" applyBorder="true" applyAlignment="false" applyProtection="false"/>
    <xf numFmtId="164" fontId="9" fillId="2" borderId="0" applyFont="true" applyBorder="true" applyAlignment="false" applyProtection="false"/>
    <xf numFmtId="164" fontId="9" fillId="2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2" borderId="0" applyFont="true" applyBorder="true" applyAlignment="false" applyProtection="false"/>
    <xf numFmtId="164" fontId="8" fillId="2" borderId="0" applyFont="true" applyBorder="true" applyAlignment="true" applyProtection="false">
      <alignment horizontal="right" vertical="bottom" textRotation="0" wrapText="false" indent="0" shrinkToFit="false"/>
    </xf>
    <xf numFmtId="164" fontId="11" fillId="2" borderId="0" applyFont="true" applyBorder="true" applyAlignment="false" applyProtection="false"/>
  </cellStyleXfs>
  <cellXfs count="156"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0" fillId="2" borderId="0" xfId="44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6" fontId="0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0" fillId="2" borderId="0" xfId="38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2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2" borderId="0" xfId="0" applyFont="true" applyBorder="true" applyAlignment="true" applyProtection="true">
      <alignment horizontal="left" vertical="bottom" textRotation="0" wrapText="false" indent="8" shrinkToFit="false"/>
      <protection locked="true" hidden="false"/>
    </xf>
    <xf numFmtId="166" fontId="0" fillId="2" borderId="0" xfId="38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2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2" borderId="0" xfId="38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4" fillId="2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4" fillId="2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3" fillId="2" borderId="0" xfId="0" applyFont="true" applyBorder="true" applyAlignment="true" applyProtection="true">
      <alignment horizontal="left" vertical="top" textRotation="0" wrapText="false" indent="8" shrinkToFit="false"/>
      <protection locked="true" hidden="false"/>
    </xf>
    <xf numFmtId="164" fontId="14" fillId="2" borderId="0" xfId="0" applyFont="true" applyBorder="true" applyAlignment="true" applyProtection="true">
      <alignment horizontal="left" vertical="top" textRotation="0" wrapText="false" indent="8" shrinkToFit="false"/>
      <protection locked="true" hidden="false"/>
    </xf>
    <xf numFmtId="164" fontId="15" fillId="2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6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7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7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2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8" fillId="2" borderId="0" xfId="39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39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4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2" borderId="0" xfId="4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2" borderId="0" xfId="46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11" fillId="2" borderId="0" xfId="46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7" fontId="11" fillId="2" borderId="0" xfId="46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6" fillId="2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6" fillId="2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6" fillId="2" borderId="3" xfId="32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3" xfId="32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6" fillId="2" borderId="3" xfId="32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4" fillId="2" borderId="0" xfId="28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5" fillId="2" borderId="0" xfId="3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7" fontId="18" fillId="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18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24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24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2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2" xfId="26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2" xfId="26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2" xfId="26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7" fillId="2" borderId="2" xfId="33" applyFont="true" applyBorder="false" applyAlignment="false" applyProtection="false">
      <alignment horizontal="right" vertical="center" textRotation="0" wrapText="false" indent="0" shrinkToFit="false"/>
      <protection locked="true" hidden="false"/>
    </xf>
    <xf numFmtId="164" fontId="7" fillId="2" borderId="2" xfId="34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7" fillId="2" borderId="0" xfId="36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18" fillId="2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2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8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3" xfId="32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7" fontId="18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7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5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25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0" xfId="25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7" fillId="2" borderId="2" xfId="34" applyFont="true" applyBorder="false" applyAlignment="false" applyProtection="false">
      <alignment horizontal="right" vertical="top" textRotation="0" wrapText="false" indent="0" shrinkToFit="false"/>
      <protection locked="true" hidden="false"/>
    </xf>
    <xf numFmtId="168" fontId="0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2" borderId="0" xfId="31" applyFont="tru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19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2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26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2" borderId="0" xfId="26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0" xfId="26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left" vertical="center" textRotation="0" wrapText="false" indent="4" shrinkToFit="false"/>
      <protection locked="true" hidden="false"/>
    </xf>
    <xf numFmtId="164" fontId="0" fillId="2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3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23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0" xfId="2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35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0" fillId="2" borderId="0" xfId="35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0" xfId="35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6" fontId="0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9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2" xfId="34" applyFont="true" applyBorder="true" applyAlignment="false" applyProtection="false">
      <alignment horizontal="right" vertical="top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6" fillId="3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6" fillId="3" borderId="3" xfId="32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3" xfId="32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6" fillId="3" borderId="3" xfId="32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3" borderId="0" xfId="24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3" borderId="0" xfId="24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0" xfId="24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3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26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6" fontId="26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2" borderId="0" xfId="42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3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esult2" xfId="20"/>
    <cellStyle name="column" xfId="21"/>
    <cellStyle name="product-row" xfId="22"/>
    <cellStyle name="product-row single-line" xfId="23"/>
    <cellStyle name="product-row double-line-1" xfId="24"/>
    <cellStyle name="product-row single-line_no-border" xfId="25"/>
    <cellStyle name="product-row double-line-2" xfId="26"/>
    <cellStyle name="new-item" xfId="27"/>
    <cellStyle name="new-item bullet single-line" xfId="28"/>
    <cellStyle name="new-item bullet" xfId="29"/>
    <cellStyle name="new-item title" xfId="30"/>
    <cellStyle name="new-item bullet double-line" xfId="31"/>
    <cellStyle name="product-category" xfId="32"/>
    <cellStyle name="product-row single-line modif" xfId="33"/>
    <cellStyle name="product-row double-line-2 modif" xfId="34"/>
    <cellStyle name="product-row double-line-2_no-border" xfId="35"/>
    <cellStyle name="product-row double-line-2 modif_1" xfId="36"/>
    <cellStyle name="header" xfId="37"/>
    <cellStyle name="header contacts" xfId="38"/>
    <cellStyle name="header table-column" xfId="39"/>
    <cellStyle name="header table-colum right" xfId="40"/>
    <cellStyle name="undeletable" xfId="41"/>
    <cellStyle name="hyperlink" xfId="42"/>
    <cellStyle name="hyperlink right+hidden" xfId="43"/>
    <cellStyle name="Footnote 2" xfId="44"/>
    <cellStyle name="header table-colum price" xfId="45"/>
    <cellStyle name="header table-column-subtitle" xfId="46"/>
  </cellStyles>
  <colors>
    <indexedColors>
      <rgbColor rgb="FF000000"/>
      <rgbColor rgb="FFFFFFFF"/>
      <rgbColor rgb="FFFF3333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AFAB3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14</xdr:col>
      <xdr:colOff>124560</xdr:colOff>
      <xdr:row>1</xdr:row>
      <xdr:rowOff>120600</xdr:rowOff>
    </xdr:from>
    <xdr:to>
      <xdr:col>14</xdr:col>
      <xdr:colOff>682920</xdr:colOff>
      <xdr:row>6</xdr:row>
      <xdr:rowOff>106560</xdr:rowOff>
    </xdr:to>
    <xdr:pic>
      <xdr:nvPicPr>
        <xdr:cNvPr id="0" name="ГОСТ Р ИСО/ТУ 16949:2009" descr=""/>
        <xdr:cNvPicPr/>
      </xdr:nvPicPr>
      <xdr:blipFill>
        <a:blip r:embed="rId1"/>
        <a:stretch/>
      </xdr:blipFill>
      <xdr:spPr>
        <a:xfrm>
          <a:off x="9528120" y="283320"/>
          <a:ext cx="558360" cy="616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0</xdr:col>
      <xdr:colOff>208800</xdr:colOff>
      <xdr:row>0</xdr:row>
      <xdr:rowOff>0</xdr:rowOff>
    </xdr:from>
    <xdr:to>
      <xdr:col>7</xdr:col>
      <xdr:colOff>459720</xdr:colOff>
      <xdr:row>7</xdr:row>
      <xdr:rowOff>119160</xdr:rowOff>
    </xdr:to>
    <xdr:pic>
      <xdr:nvPicPr>
        <xdr:cNvPr id="1" name="логотип Пензенского завода Электромехизмерение (ЭМИ)" descr=""/>
        <xdr:cNvPicPr/>
      </xdr:nvPicPr>
      <xdr:blipFill>
        <a:blip r:embed="rId2"/>
        <a:stretch/>
      </xdr:blipFill>
      <xdr:spPr>
        <a:xfrm>
          <a:off x="208800" y="0"/>
          <a:ext cx="3054600" cy="1076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10</xdr:col>
      <xdr:colOff>852840</xdr:colOff>
      <xdr:row>507</xdr:row>
      <xdr:rowOff>34920</xdr:rowOff>
    </xdr:from>
    <xdr:to>
      <xdr:col>14</xdr:col>
      <xdr:colOff>732240</xdr:colOff>
      <xdr:row>508</xdr:row>
      <xdr:rowOff>729720</xdr:rowOff>
    </xdr:to>
    <xdr:pic>
      <xdr:nvPicPr>
        <xdr:cNvPr id="2" name="Image 1" descr=""/>
        <xdr:cNvPicPr/>
      </xdr:nvPicPr>
      <xdr:blipFill>
        <a:blip r:embed="rId3"/>
        <a:stretch/>
      </xdr:blipFill>
      <xdr:spPr>
        <a:xfrm>
          <a:off x="7104960" y="101111040"/>
          <a:ext cx="3030840" cy="7311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KX704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95" workbookViewId="0">
      <selection pane="topLeft" activeCell="A1" activeCellId="0" sqref="A1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0" width="3.58"/>
    <col collapsed="false" customWidth="true" hidden="false" outlineLevel="0" max="2" min="2" style="1" width="1.53"/>
    <col collapsed="false" customWidth="true" hidden="false" outlineLevel="0" max="3" min="3" style="2" width="14.91"/>
    <col collapsed="false" customWidth="true" hidden="false" outlineLevel="0" max="5" min="4" style="1" width="3.58"/>
    <col collapsed="false" customWidth="true" hidden="false" outlineLevel="0" max="6" min="6" style="1" width="3.94"/>
    <col collapsed="false" customWidth="true" hidden="false" outlineLevel="0" max="7" min="7" style="1" width="8.67"/>
    <col collapsed="false" customWidth="true" hidden="false" outlineLevel="0" max="8" min="8" style="1" width="28.17"/>
    <col collapsed="false" customWidth="true" hidden="false" outlineLevel="0" max="9" min="9" style="3" width="1.3"/>
    <col collapsed="false" customWidth="true" hidden="false" outlineLevel="0" max="10" min="10" style="4" width="19.46"/>
    <col collapsed="false" customWidth="true" hidden="false" outlineLevel="0" max="11" min="11" style="4" width="12.45"/>
    <col collapsed="false" customWidth="true" hidden="false" outlineLevel="0" max="12" min="12" style="5" width="10.73"/>
    <col collapsed="false" customWidth="true" hidden="false" outlineLevel="0" max="13" min="13" style="4" width="10.77"/>
    <col collapsed="false" customWidth="true" hidden="false" outlineLevel="0" max="14" min="14" style="6" width="10.77"/>
    <col collapsed="false" customWidth="true" hidden="false" outlineLevel="0" max="15" min="15" style="6" width="10.73"/>
    <col collapsed="false" customWidth="true" hidden="false" outlineLevel="0" max="16" min="16" style="1" width="1.53"/>
  </cols>
  <sheetData>
    <row r="1" customFormat="false" ht="12.8" hidden="false" customHeight="false" outlineLevel="0" collapsed="false">
      <c r="A1" s="7"/>
      <c r="B1" s="8"/>
      <c r="C1" s="9"/>
      <c r="D1" s="9"/>
      <c r="E1" s="9"/>
      <c r="F1" s="9"/>
      <c r="G1" s="9"/>
      <c r="H1" s="9"/>
      <c r="I1" s="8"/>
      <c r="J1" s="10"/>
      <c r="K1" s="10"/>
      <c r="L1" s="9"/>
      <c r="M1" s="10"/>
      <c r="N1" s="11"/>
      <c r="O1" s="11"/>
    </row>
    <row r="2" customFormat="false" ht="12.8" hidden="false" customHeight="false" outlineLevel="0" collapsed="false">
      <c r="A2" s="9"/>
      <c r="B2" s="8"/>
      <c r="C2" s="9"/>
      <c r="D2" s="9"/>
      <c r="E2" s="9"/>
      <c r="F2" s="9"/>
      <c r="G2" s="9"/>
      <c r="H2" s="9"/>
      <c r="I2" s="8"/>
      <c r="J2" s="10"/>
      <c r="K2" s="10"/>
      <c r="L2" s="9"/>
      <c r="M2" s="10"/>
      <c r="N2" s="11"/>
      <c r="O2" s="11"/>
    </row>
    <row r="3" customFormat="false" ht="12" hidden="false" customHeight="true" outlineLevel="0" collapsed="false">
      <c r="A3" s="9"/>
      <c r="B3" s="8"/>
      <c r="C3" s="9"/>
      <c r="D3" s="12"/>
      <c r="E3" s="13"/>
      <c r="F3" s="13"/>
      <c r="G3" s="14"/>
      <c r="H3" s="14"/>
      <c r="I3" s="8"/>
      <c r="J3" s="10"/>
      <c r="K3" s="10"/>
      <c r="L3" s="15" t="str">
        <f aca="false">HYPERLINK("tel:+7-8412-26-04-95", "+7 (8412) 26-04-95 ")</f>
        <v>+7 (8412) 26-04-95 </v>
      </c>
      <c r="M3" s="16" t="str">
        <f aca="false">HYPERLINK("https://www.emi-penza.ru/", "www.emi-penza.ru")</f>
        <v>www.emi-penza.ru</v>
      </c>
      <c r="N3" s="16"/>
      <c r="O3" s="12"/>
    </row>
    <row r="4" customFormat="false" ht="5.95" hidden="false" customHeight="true" outlineLevel="0" collapsed="false">
      <c r="A4" s="9"/>
      <c r="B4" s="8"/>
      <c r="C4" s="9"/>
      <c r="D4" s="12"/>
      <c r="E4" s="17"/>
      <c r="F4" s="17"/>
      <c r="G4" s="14"/>
      <c r="H4" s="14"/>
      <c r="I4" s="8"/>
      <c r="J4" s="10"/>
      <c r="K4" s="10"/>
      <c r="L4" s="18" t="str">
        <f aca="false">HYPERLINK("tel:+7-8412-26-04-96", "26-04-96 ")</f>
        <v>26-04-96 </v>
      </c>
      <c r="M4" s="16" t="str">
        <f aca="false">HYPERLINK("mailto:emi@emi-penza.ru", "emi@emi-penza.ru")</f>
        <v>emi@emi-penza.ru</v>
      </c>
      <c r="N4" s="16"/>
      <c r="O4" s="12"/>
    </row>
    <row r="5" customFormat="false" ht="5.95" hidden="false" customHeight="true" outlineLevel="0" collapsed="false">
      <c r="A5" s="9"/>
      <c r="B5" s="8"/>
      <c r="C5" s="19"/>
      <c r="D5" s="12"/>
      <c r="E5" s="20"/>
      <c r="F5" s="20"/>
      <c r="G5" s="21"/>
      <c r="H5" s="21"/>
      <c r="I5" s="8"/>
      <c r="J5" s="10"/>
      <c r="K5" s="10"/>
      <c r="L5" s="18"/>
      <c r="M5" s="16"/>
      <c r="N5" s="16"/>
      <c r="O5" s="12"/>
    </row>
    <row r="6" customFormat="false" ht="12.95" hidden="false" customHeight="true" outlineLevel="0" collapsed="false">
      <c r="A6" s="9"/>
      <c r="B6" s="8"/>
      <c r="C6" s="21"/>
      <c r="D6" s="21"/>
      <c r="E6" s="21"/>
      <c r="F6" s="21"/>
      <c r="G6" s="21"/>
      <c r="H6" s="21"/>
      <c r="I6" s="8"/>
      <c r="J6" s="10"/>
      <c r="K6" s="10"/>
      <c r="L6" s="15" t="str">
        <f aca="false">HYPERLINK("tel:+7-8412-94-21-65", "94-21-65 ")</f>
        <v>94-21-65 </v>
      </c>
      <c r="M6" s="16" t="str">
        <f aca="false">HYPERLINK("tel:+7-8412-94-13-40", "т.-факс: 94-13-40")</f>
        <v>т.-факс: 94-13-40</v>
      </c>
      <c r="N6" s="16"/>
      <c r="O6" s="8"/>
    </row>
    <row r="7" customFormat="false" ht="12.95" hidden="false" customHeight="true" outlineLevel="0" collapsed="false">
      <c r="A7" s="9"/>
      <c r="B7" s="8"/>
      <c r="C7" s="19"/>
      <c r="D7" s="20"/>
      <c r="E7" s="20"/>
      <c r="F7" s="20"/>
      <c r="G7" s="22"/>
      <c r="H7" s="22"/>
      <c r="I7" s="8"/>
      <c r="J7" s="10"/>
      <c r="K7" s="10"/>
      <c r="L7" s="23"/>
      <c r="M7" s="10"/>
      <c r="N7" s="11"/>
      <c r="O7" s="8"/>
    </row>
    <row r="8" customFormat="false" ht="12.95" hidden="false" customHeight="true" outlineLevel="0" collapsed="false">
      <c r="A8" s="9"/>
      <c r="B8" s="8"/>
      <c r="C8" s="19"/>
      <c r="D8" s="9"/>
      <c r="E8" s="9"/>
      <c r="F8" s="9"/>
      <c r="G8" s="9"/>
      <c r="H8" s="9"/>
      <c r="I8" s="9"/>
      <c r="J8" s="10"/>
      <c r="K8" s="10"/>
      <c r="L8" s="9"/>
      <c r="M8" s="10"/>
      <c r="N8" s="11"/>
      <c r="O8" s="8"/>
    </row>
    <row r="9" customFormat="false" ht="12.95" hidden="false" customHeight="true" outlineLevel="0" collapsed="false">
      <c r="A9" s="9"/>
      <c r="B9" s="8"/>
      <c r="C9" s="24" t="s">
        <v>0</v>
      </c>
      <c r="D9" s="24"/>
      <c r="E9" s="24"/>
      <c r="F9" s="24"/>
      <c r="G9" s="24"/>
      <c r="H9" s="24"/>
      <c r="I9" s="24"/>
      <c r="J9" s="10"/>
      <c r="K9" s="10"/>
      <c r="L9" s="9"/>
      <c r="M9" s="10"/>
      <c r="N9" s="11"/>
      <c r="O9" s="8"/>
    </row>
    <row r="10" customFormat="false" ht="2.15" hidden="false" customHeight="true" outlineLevel="0" collapsed="false">
      <c r="A10" s="9"/>
      <c r="B10" s="8"/>
      <c r="C10" s="24"/>
      <c r="D10" s="24"/>
      <c r="E10" s="24"/>
      <c r="F10" s="24"/>
      <c r="G10" s="24"/>
      <c r="H10" s="24"/>
      <c r="I10" s="24"/>
      <c r="J10" s="10"/>
      <c r="K10" s="10"/>
      <c r="L10" s="9"/>
      <c r="M10" s="10"/>
      <c r="N10" s="11"/>
      <c r="O10" s="12"/>
    </row>
    <row r="11" customFormat="false" ht="8.5" hidden="false" customHeight="true" outlineLevel="0" collapsed="false">
      <c r="A11" s="9"/>
      <c r="B11" s="8"/>
      <c r="C11" s="24"/>
      <c r="D11" s="24"/>
      <c r="E11" s="24"/>
      <c r="F11" s="24"/>
      <c r="G11" s="24"/>
      <c r="H11" s="24"/>
      <c r="I11" s="24"/>
      <c r="J11" s="25"/>
      <c r="K11" s="25"/>
      <c r="L11" s="25"/>
      <c r="M11" s="25"/>
      <c r="N11" s="25"/>
      <c r="O11" s="25"/>
    </row>
    <row r="12" customFormat="false" ht="11.5" hidden="false" customHeight="true" outlineLevel="0" collapsed="false">
      <c r="A12" s="9"/>
      <c r="B12" s="8"/>
      <c r="C12" s="24"/>
      <c r="D12" s="24"/>
      <c r="E12" s="24"/>
      <c r="F12" s="24"/>
      <c r="G12" s="24"/>
      <c r="H12" s="24"/>
      <c r="I12" s="24"/>
      <c r="J12" s="25"/>
      <c r="K12" s="25"/>
      <c r="L12" s="26"/>
      <c r="M12" s="25"/>
      <c r="N12" s="27"/>
      <c r="O12" s="27"/>
    </row>
    <row r="13" customFormat="false" ht="14.15" hidden="false" customHeight="true" outlineLevel="0" collapsed="false">
      <c r="B13" s="3"/>
      <c r="C13" s="28" t="s">
        <v>1</v>
      </c>
      <c r="D13" s="29" t="s">
        <v>2</v>
      </c>
      <c r="E13" s="29"/>
      <c r="F13" s="29"/>
      <c r="G13" s="29"/>
      <c r="I13" s="30"/>
      <c r="J13" s="30" t="s">
        <v>3</v>
      </c>
      <c r="K13" s="30" t="s">
        <v>4</v>
      </c>
      <c r="L13" s="31"/>
      <c r="M13" s="0"/>
      <c r="N13" s="27"/>
      <c r="O13" s="27" t="s">
        <v>5</v>
      </c>
    </row>
    <row r="14" customFormat="false" ht="14.15" hidden="false" customHeight="true" outlineLevel="0" collapsed="false">
      <c r="B14" s="3"/>
      <c r="I14" s="32"/>
      <c r="J14" s="33"/>
      <c r="K14" s="33"/>
      <c r="L14" s="34"/>
      <c r="M14" s="33"/>
      <c r="N14" s="32"/>
      <c r="O14" s="32"/>
    </row>
    <row r="15" customFormat="false" ht="22.7" hidden="false" customHeight="true" outlineLevel="0" collapsed="false">
      <c r="B15" s="3"/>
      <c r="C15" s="35" t="s">
        <v>6</v>
      </c>
      <c r="D15" s="36"/>
      <c r="E15" s="36"/>
      <c r="F15" s="36"/>
      <c r="G15" s="36"/>
      <c r="H15" s="36"/>
      <c r="I15" s="36"/>
      <c r="J15" s="37"/>
      <c r="K15" s="37"/>
      <c r="L15" s="38"/>
      <c r="M15" s="37"/>
      <c r="N15" s="39"/>
      <c r="O15" s="39"/>
    </row>
    <row r="16" customFormat="false" ht="2.85" hidden="false" customHeight="true" outlineLevel="0" collapsed="false">
      <c r="B16" s="3"/>
    </row>
    <row r="17" customFormat="false" ht="13.3" hidden="false" customHeight="true" outlineLevel="0" collapsed="false">
      <c r="B17" s="40" t="s">
        <v>7</v>
      </c>
      <c r="C17" s="41" t="s">
        <v>8</v>
      </c>
    </row>
    <row r="18" customFormat="false" ht="18.15" hidden="false" customHeight="true" outlineLevel="0" collapsed="false">
      <c r="B18" s="42"/>
      <c r="C18" s="43" t="str">
        <f aca="false">HYPERLINK("https://www.emi-penza.ru/p/6002.3829", "6002.3829")</f>
        <v>6002.3829</v>
      </c>
      <c r="D18" s="44" t="s">
        <v>9</v>
      </c>
      <c r="E18" s="44"/>
      <c r="F18" s="44"/>
      <c r="G18" s="44"/>
      <c r="H18" s="44"/>
      <c r="I18" s="45"/>
      <c r="J18" s="45" t="s">
        <v>10</v>
      </c>
      <c r="K18" s="45" t="str">
        <f aca="false">HYPERLINK("https://pub.fsa.gov.ru/rds/declaration/view/19350073/common", "ЕАЭС N RU Д-RU.РА08.В.20690/24")</f>
        <v>ЕАЭС N RU Д-RU.РА08.В.20690/24</v>
      </c>
      <c r="L18" s="46"/>
      <c r="M18" s="45"/>
      <c r="N18" s="47" t="s">
        <v>11</v>
      </c>
      <c r="O18" s="47" t="s">
        <v>12</v>
      </c>
    </row>
    <row r="19" customFormat="false" ht="18.15" hidden="false" customHeight="true" outlineLevel="0" collapsed="false">
      <c r="B19" s="42"/>
      <c r="C19" s="43" t="str">
        <f aca="false">HYPERLINK("https://www.emi-penza.ru/p/6012.3829", "6012.3829")</f>
        <v>6012.3829</v>
      </c>
      <c r="D19" s="44" t="s">
        <v>13</v>
      </c>
      <c r="E19" s="44"/>
      <c r="F19" s="44"/>
      <c r="G19" s="44"/>
      <c r="H19" s="44"/>
      <c r="I19" s="45"/>
      <c r="J19" s="45" t="s">
        <v>10</v>
      </c>
      <c r="K19" s="45" t="str">
        <f aca="false">HYPERLINK("https://pub.fsa.gov.ru/rds/declaration/view/19350073/common", "ЕАЭС N RU Д-RU.РА08.В.20690/24")</f>
        <v>ЕАЭС N RU Д-RU.РА08.В.20690/24</v>
      </c>
      <c r="L19" s="46"/>
      <c r="M19" s="45"/>
      <c r="N19" s="47" t="s">
        <v>11</v>
      </c>
      <c r="O19" s="47" t="s">
        <v>12</v>
      </c>
    </row>
    <row r="20" customFormat="false" ht="14.45" hidden="false" customHeight="true" outlineLevel="0" collapsed="false">
      <c r="B20" s="48"/>
      <c r="C20" s="49" t="str">
        <f aca="false">HYPERLINK("https://www.emi-penza.ru/p/6012.3829-01", "6012.3829-01")</f>
        <v>6012.3829-01</v>
      </c>
      <c r="D20" s="50" t="s">
        <v>14</v>
      </c>
      <c r="E20" s="50"/>
      <c r="F20" s="50"/>
      <c r="G20" s="50"/>
      <c r="H20" s="50"/>
      <c r="I20" s="51"/>
      <c r="J20" s="51" t="s">
        <v>10</v>
      </c>
      <c r="K20" s="51" t="str">
        <f aca="false">HYPERLINK("https://pub.fsa.gov.ru/rds/declaration/view/19350073/common", "ЕАЭС N RU Д-RU.РА08.В.20690/24")</f>
        <v>ЕАЭС N RU Д-RU.РА08.В.20690/24</v>
      </c>
      <c r="L20" s="52"/>
      <c r="M20" s="51"/>
      <c r="N20" s="53" t="s">
        <v>11</v>
      </c>
      <c r="O20" s="53" t="s">
        <v>12</v>
      </c>
    </row>
    <row r="21" customFormat="false" ht="14.45" hidden="false" customHeight="true" outlineLevel="0" collapsed="false">
      <c r="B21" s="54"/>
      <c r="C21" s="55"/>
      <c r="D21" s="56" t="s">
        <v>15</v>
      </c>
      <c r="E21" s="56"/>
      <c r="F21" s="56"/>
      <c r="G21" s="56"/>
      <c r="H21" s="56"/>
      <c r="I21" s="57"/>
      <c r="J21" s="57"/>
      <c r="K21" s="57"/>
      <c r="L21" s="58"/>
      <c r="M21" s="57"/>
      <c r="N21" s="59"/>
      <c r="O21" s="59"/>
    </row>
    <row r="22" customFormat="false" ht="18.15" hidden="false" customHeight="true" outlineLevel="0" collapsed="false">
      <c r="B22" s="42"/>
      <c r="C22" s="43" t="str">
        <f aca="false">HYPERLINK("https://www.emi-penza.ru/p/6012.3829-03", "6012.3829-03")</f>
        <v>6012.3829-03</v>
      </c>
      <c r="D22" s="44" t="s">
        <v>16</v>
      </c>
      <c r="E22" s="44"/>
      <c r="F22" s="44"/>
      <c r="G22" s="44"/>
      <c r="H22" s="44"/>
      <c r="I22" s="45"/>
      <c r="J22" s="45" t="s">
        <v>10</v>
      </c>
      <c r="K22" s="45" t="str">
        <f aca="false">HYPERLINK("https://pub.fsa.gov.ru/rds/declaration/view/19350073/common", "ЕАЭС N RU Д-RU.РА08.В.20690/24")</f>
        <v>ЕАЭС N RU Д-RU.РА08.В.20690/24</v>
      </c>
      <c r="L22" s="46"/>
      <c r="M22" s="45"/>
      <c r="N22" s="47" t="s">
        <v>11</v>
      </c>
      <c r="O22" s="47" t="s">
        <v>12</v>
      </c>
    </row>
    <row r="23" customFormat="false" ht="18.15" hidden="false" customHeight="true" outlineLevel="0" collapsed="false">
      <c r="B23" s="42"/>
      <c r="C23" s="43" t="str">
        <f aca="false">HYPERLINK("https://www.emi-penza.ru/p/6012.3829-04", "6012.3829-04")</f>
        <v>6012.3829-04</v>
      </c>
      <c r="D23" s="44" t="s">
        <v>17</v>
      </c>
      <c r="E23" s="44"/>
      <c r="F23" s="44"/>
      <c r="G23" s="44"/>
      <c r="H23" s="44"/>
      <c r="I23" s="45"/>
      <c r="J23" s="45" t="s">
        <v>10</v>
      </c>
      <c r="K23" s="45" t="str">
        <f aca="false">HYPERLINK("https://pub.fsa.gov.ru/rds/declaration/view/19350073/common", "ЕАЭС N RU Д-RU.РА08.В.20690/24")</f>
        <v>ЕАЭС N RU Д-RU.РА08.В.20690/24</v>
      </c>
      <c r="L23" s="46"/>
      <c r="M23" s="45"/>
      <c r="N23" s="47" t="s">
        <v>11</v>
      </c>
      <c r="O23" s="47" t="s">
        <v>12</v>
      </c>
    </row>
    <row r="24" customFormat="false" ht="18.15" hidden="false" customHeight="true" outlineLevel="0" collapsed="false">
      <c r="B24" s="42"/>
      <c r="C24" s="43" t="str">
        <f aca="false">HYPERLINK("https://www.emi-penza.ru/p/6012.3829-05", "6012.3829-05")</f>
        <v>6012.3829-05</v>
      </c>
      <c r="D24" s="44" t="s">
        <v>18</v>
      </c>
      <c r="E24" s="44"/>
      <c r="F24" s="44"/>
      <c r="G24" s="44"/>
      <c r="H24" s="44"/>
      <c r="I24" s="45"/>
      <c r="J24" s="45" t="s">
        <v>10</v>
      </c>
      <c r="K24" s="45" t="str">
        <f aca="false">HYPERLINK("https://pub.fsa.gov.ru/rds/declaration/view/19350073/common", "ЕАЭС N RU Д-RU.РА08.В.20690/24")</f>
        <v>ЕАЭС N RU Д-RU.РА08.В.20690/24</v>
      </c>
      <c r="L24" s="46"/>
      <c r="M24" s="45"/>
      <c r="N24" s="47" t="s">
        <v>11</v>
      </c>
      <c r="O24" s="47" t="s">
        <v>12</v>
      </c>
    </row>
    <row r="25" customFormat="false" ht="18.15" hidden="false" customHeight="true" outlineLevel="0" collapsed="false">
      <c r="B25" s="42"/>
      <c r="C25" s="43" t="str">
        <f aca="false">HYPERLINK("https://www.emi-penza.ru/p/6022.3829", "6022.3829")</f>
        <v>6022.3829</v>
      </c>
      <c r="D25" s="44" t="s">
        <v>19</v>
      </c>
      <c r="E25" s="44"/>
      <c r="F25" s="44"/>
      <c r="G25" s="44"/>
      <c r="H25" s="44"/>
      <c r="I25" s="45"/>
      <c r="J25" s="45" t="s">
        <v>10</v>
      </c>
      <c r="K25" s="45" t="str">
        <f aca="false">HYPERLINK("https://pub.fsa.gov.ru/rds/declaration/view/19350073/common", "ЕАЭС N RU Д-RU.РА08.В.20690/24")</f>
        <v>ЕАЭС N RU Д-RU.РА08.В.20690/24</v>
      </c>
      <c r="L25" s="46"/>
      <c r="M25" s="45"/>
      <c r="N25" s="47" t="s">
        <v>11</v>
      </c>
      <c r="O25" s="47" t="s">
        <v>12</v>
      </c>
    </row>
    <row r="26" customFormat="false" ht="18.15" hidden="false" customHeight="true" outlineLevel="0" collapsed="false">
      <c r="B26" s="42"/>
      <c r="C26" s="43" t="str">
        <f aca="false">HYPERLINK("https://www.emi-penza.ru/p/6022.3829-01", "6022.3829-01")</f>
        <v>6022.3829-01</v>
      </c>
      <c r="D26" s="44" t="s">
        <v>20</v>
      </c>
      <c r="E26" s="44"/>
      <c r="F26" s="44"/>
      <c r="G26" s="44"/>
      <c r="H26" s="44"/>
      <c r="I26" s="45"/>
      <c r="J26" s="45" t="s">
        <v>10</v>
      </c>
      <c r="K26" s="45" t="str">
        <f aca="false">HYPERLINK("https://pub.fsa.gov.ru/rds/declaration/view/19350073/common", "ЕАЭС N RU Д-RU.РА08.В.20690/24")</f>
        <v>ЕАЭС N RU Д-RU.РА08.В.20690/24</v>
      </c>
      <c r="L26" s="46"/>
      <c r="M26" s="45"/>
      <c r="N26" s="47" t="s">
        <v>11</v>
      </c>
      <c r="O26" s="47" t="s">
        <v>12</v>
      </c>
    </row>
    <row r="27" customFormat="false" ht="13.6" hidden="false" customHeight="true" outlineLevel="0" collapsed="false">
      <c r="B27" s="48"/>
      <c r="C27" s="49" t="str">
        <f aca="false">HYPERLINK("https://www.emi-penza.ru/p/6022.3829-01-M", "6022.3829-01-М")</f>
        <v>6022.3829-01-М</v>
      </c>
      <c r="D27" s="50" t="s">
        <v>21</v>
      </c>
      <c r="E27" s="50"/>
      <c r="F27" s="50"/>
      <c r="G27" s="50"/>
      <c r="H27" s="50"/>
      <c r="I27" s="51"/>
      <c r="J27" s="51" t="s">
        <v>10</v>
      </c>
      <c r="K27" s="51" t="str">
        <f aca="false">HYPERLINK("https://pub.fsa.gov.ru/rds/declaration/view/19350073/common", "ЕАЭС N RU Д-RU.РА08.В.20690/24")</f>
        <v>ЕАЭС N RU Д-RU.РА08.В.20690/24</v>
      </c>
      <c r="L27" s="52"/>
      <c r="M27" s="51"/>
      <c r="N27" s="53" t="s">
        <v>11</v>
      </c>
      <c r="O27" s="53" t="s">
        <v>12</v>
      </c>
    </row>
    <row r="28" customFormat="false" ht="15" hidden="false" customHeight="true" outlineLevel="0" collapsed="false">
      <c r="B28" s="54"/>
      <c r="C28" s="55"/>
      <c r="D28" s="56"/>
      <c r="E28" s="56"/>
      <c r="F28" s="56"/>
      <c r="G28" s="56"/>
      <c r="H28" s="56"/>
      <c r="I28" s="57"/>
      <c r="J28" s="57"/>
      <c r="K28" s="57"/>
      <c r="L28" s="58"/>
      <c r="M28" s="57"/>
      <c r="N28" s="59"/>
      <c r="O28" s="59"/>
    </row>
    <row r="29" customFormat="false" ht="13.6" hidden="false" customHeight="true" outlineLevel="0" collapsed="false">
      <c r="B29" s="48"/>
      <c r="C29" s="49" t="str">
        <f aca="false">HYPERLINK("https://www.emi-penza.ru/p/6022.3829-02", "6022.3829-02")</f>
        <v>6022.3829-02</v>
      </c>
      <c r="D29" s="50" t="s">
        <v>22</v>
      </c>
      <c r="E29" s="50"/>
      <c r="F29" s="50"/>
      <c r="G29" s="50"/>
      <c r="H29" s="50"/>
      <c r="I29" s="51"/>
      <c r="J29" s="51" t="s">
        <v>10</v>
      </c>
      <c r="K29" s="51" t="str">
        <f aca="false">HYPERLINK("https://pub.fsa.gov.ru/rds/declaration/view/19350073/common", "ЕАЭС N RU Д-RU.РА08.В.20690/24")</f>
        <v>ЕАЭС N RU Д-RU.РА08.В.20690/24</v>
      </c>
      <c r="L29" s="52"/>
      <c r="M29" s="51"/>
      <c r="N29" s="53" t="s">
        <v>11</v>
      </c>
      <c r="O29" s="53" t="s">
        <v>12</v>
      </c>
    </row>
    <row r="30" customFormat="false" ht="15" hidden="false" customHeight="true" outlineLevel="0" collapsed="false">
      <c r="B30" s="54"/>
      <c r="C30" s="55"/>
      <c r="D30" s="56" t="s">
        <v>23</v>
      </c>
      <c r="E30" s="56"/>
      <c r="F30" s="56"/>
      <c r="G30" s="56"/>
      <c r="H30" s="56"/>
      <c r="I30" s="57"/>
      <c r="J30" s="57"/>
      <c r="K30" s="57"/>
      <c r="L30" s="58"/>
      <c r="M30" s="57"/>
      <c r="N30" s="59"/>
      <c r="O30" s="59"/>
    </row>
    <row r="31" customFormat="false" ht="18.15" hidden="false" customHeight="true" outlineLevel="0" collapsed="false">
      <c r="B31" s="42"/>
      <c r="C31" s="43" t="str">
        <f aca="false">HYPERLINK("https://www.emi-penza.ru/p/6022.3829-03", "6022.3829-03")</f>
        <v>6022.3829-03</v>
      </c>
      <c r="D31" s="44"/>
      <c r="E31" s="44"/>
      <c r="F31" s="44"/>
      <c r="G31" s="44"/>
      <c r="H31" s="44"/>
      <c r="I31" s="45"/>
      <c r="J31" s="45" t="s">
        <v>10</v>
      </c>
      <c r="K31" s="45" t="str">
        <f aca="false">HYPERLINK("https://pub.fsa.gov.ru/rds/declaration/view/19350073/common", "ЕАЭС N RU Д-RU.РА08.В.20690/24")</f>
        <v>ЕАЭС N RU Д-RU.РА08.В.20690/24</v>
      </c>
      <c r="L31" s="46"/>
      <c r="M31" s="45"/>
      <c r="N31" s="47" t="s">
        <v>11</v>
      </c>
      <c r="O31" s="47" t="s">
        <v>12</v>
      </c>
    </row>
    <row r="32" customFormat="false" ht="13.6" hidden="false" customHeight="true" outlineLevel="0" collapsed="false">
      <c r="B32" s="48" t="s">
        <v>7</v>
      </c>
      <c r="C32" s="49" t="str">
        <f aca="false">HYPERLINK("https://www.emi-penza.ru/p/6022.3829-04", "6022.3829-04")</f>
        <v>6022.3829-04</v>
      </c>
      <c r="D32" s="50" t="s">
        <v>24</v>
      </c>
      <c r="E32" s="50"/>
      <c r="F32" s="50"/>
      <c r="G32" s="50"/>
      <c r="H32" s="50"/>
      <c r="I32" s="51"/>
      <c r="J32" s="51" t="s">
        <v>10</v>
      </c>
      <c r="K32" s="51" t="str">
        <f aca="false">HYPERLINK("https://pub.fsa.gov.ru/rds/declaration/view/19350073/common", "ЕАЭС N RU Д-RU.РА08.В.20690/24")</f>
        <v>ЕАЭС N RU Д-RU.РА08.В.20690/24</v>
      </c>
      <c r="L32" s="52"/>
      <c r="M32" s="51"/>
      <c r="N32" s="53" t="s">
        <v>11</v>
      </c>
      <c r="O32" s="53" t="s">
        <v>12</v>
      </c>
    </row>
    <row r="33" customFormat="false" ht="15" hidden="false" customHeight="true" outlineLevel="0" collapsed="false">
      <c r="B33" s="54"/>
      <c r="C33" s="55"/>
      <c r="D33" s="56" t="s">
        <v>25</v>
      </c>
      <c r="E33" s="56"/>
      <c r="F33" s="56"/>
      <c r="G33" s="56"/>
      <c r="H33" s="56"/>
      <c r="I33" s="57"/>
      <c r="J33" s="57"/>
      <c r="K33" s="57"/>
      <c r="L33" s="58"/>
      <c r="M33" s="57"/>
      <c r="N33" s="59"/>
      <c r="O33" s="59"/>
    </row>
    <row r="34" customFormat="false" ht="18.15" hidden="false" customHeight="true" outlineLevel="0" collapsed="false">
      <c r="B34" s="42" t="s">
        <v>7</v>
      </c>
      <c r="C34" s="43" t="str">
        <f aca="false">HYPERLINK("https://www.emi-penza.ru/p/6022.3829-07", "6022.3829-07")</f>
        <v>6022.3829-07</v>
      </c>
      <c r="D34" s="44" t="s">
        <v>26</v>
      </c>
      <c r="E34" s="44"/>
      <c r="F34" s="44"/>
      <c r="G34" s="44"/>
      <c r="H34" s="44"/>
      <c r="I34" s="45"/>
      <c r="J34" s="45" t="s">
        <v>10</v>
      </c>
      <c r="K34" s="45" t="str">
        <f aca="false">HYPERLINK("https://pub.fsa.gov.ru/rds/declaration/view/19350073/common", "ЕАЭС N RU Д-RU.РА08.В.20690/24")</f>
        <v>ЕАЭС N RU Д-RU.РА08.В.20690/24</v>
      </c>
      <c r="L34" s="46"/>
      <c r="M34" s="45"/>
      <c r="N34" s="47" t="s">
        <v>11</v>
      </c>
      <c r="O34" s="47" t="s">
        <v>12</v>
      </c>
    </row>
    <row r="35" customFormat="false" ht="18.15" hidden="false" customHeight="true" outlineLevel="0" collapsed="false">
      <c r="B35" s="42"/>
      <c r="C35" s="43" t="str">
        <f aca="false">HYPERLINK("https://www.emi-penza.ru/p/6032.3829", "6032.3829")</f>
        <v>6032.3829</v>
      </c>
      <c r="D35" s="44" t="s">
        <v>27</v>
      </c>
      <c r="E35" s="44"/>
      <c r="F35" s="44"/>
      <c r="G35" s="44"/>
      <c r="H35" s="44"/>
      <c r="I35" s="45"/>
      <c r="J35" s="45" t="s">
        <v>10</v>
      </c>
      <c r="K35" s="45" t="str">
        <f aca="false">HYPERLINK("https://pub.fsa.gov.ru/rds/declaration/view/19350073/common", "ЕАЭС N RU Д-RU.РА08.В.20690/24")</f>
        <v>ЕАЭС N RU Д-RU.РА08.В.20690/24</v>
      </c>
      <c r="L35" s="46"/>
      <c r="M35" s="45"/>
      <c r="N35" s="47" t="s">
        <v>11</v>
      </c>
      <c r="O35" s="47" t="s">
        <v>12</v>
      </c>
    </row>
    <row r="36" customFormat="false" ht="14.15" hidden="false" customHeight="true" outlineLevel="0" collapsed="false">
      <c r="B36" s="48"/>
      <c r="C36" s="49" t="str">
        <f aca="false">HYPERLINK("https://www.emi-penza.ru/p/6032.3829-01", "6032.3829-01")</f>
        <v>6032.3829-01</v>
      </c>
      <c r="D36" s="50" t="s">
        <v>28</v>
      </c>
      <c r="E36" s="50"/>
      <c r="F36" s="50"/>
      <c r="G36" s="50"/>
      <c r="H36" s="50"/>
      <c r="I36" s="51"/>
      <c r="J36" s="51" t="s">
        <v>10</v>
      </c>
      <c r="K36" s="51" t="str">
        <f aca="false">HYPERLINK("https://pub.fsa.gov.ru/rds/declaration/view/19350073/common", "ЕАЭС N RU Д-RU.РА08.В.20690/24")</f>
        <v>ЕАЭС N RU Д-RU.РА08.В.20690/24</v>
      </c>
      <c r="L36" s="52"/>
      <c r="M36" s="51"/>
      <c r="N36" s="53" t="s">
        <v>11</v>
      </c>
      <c r="O36" s="53" t="s">
        <v>12</v>
      </c>
    </row>
    <row r="37" customFormat="false" ht="15" hidden="false" customHeight="true" outlineLevel="0" collapsed="false">
      <c r="B37" s="54"/>
      <c r="C37" s="55"/>
      <c r="D37" s="56" t="s">
        <v>29</v>
      </c>
      <c r="E37" s="56"/>
      <c r="F37" s="56"/>
      <c r="G37" s="56"/>
      <c r="H37" s="56"/>
      <c r="I37" s="57"/>
      <c r="J37" s="57"/>
      <c r="K37" s="57"/>
      <c r="L37" s="58"/>
      <c r="M37" s="57"/>
      <c r="N37" s="59"/>
      <c r="O37" s="59"/>
    </row>
    <row r="38" customFormat="false" ht="18.15" hidden="false" customHeight="true" outlineLevel="0" collapsed="false">
      <c r="B38" s="42"/>
      <c r="C38" s="43" t="str">
        <f aca="false">HYPERLINK("https://www.emi-penza.ru/p/6032.3829-02", "6032.3829-02")</f>
        <v>6032.3829-02</v>
      </c>
      <c r="D38" s="44" t="s">
        <v>30</v>
      </c>
      <c r="E38" s="44"/>
      <c r="F38" s="44"/>
      <c r="G38" s="44"/>
      <c r="H38" s="44"/>
      <c r="I38" s="45"/>
      <c r="J38" s="45" t="s">
        <v>10</v>
      </c>
      <c r="K38" s="45" t="str">
        <f aca="false">HYPERLINK("https://pub.fsa.gov.ru/rds/declaration/view/19350073/common", "ЕАЭС N RU Д-RU.РА08.В.20690/24")</f>
        <v>ЕАЭС N RU Д-RU.РА08.В.20690/24</v>
      </c>
      <c r="L38" s="46"/>
      <c r="M38" s="45"/>
      <c r="N38" s="47" t="s">
        <v>11</v>
      </c>
      <c r="O38" s="47" t="s">
        <v>12</v>
      </c>
    </row>
    <row r="39" customFormat="false" ht="13.6" hidden="false" customHeight="true" outlineLevel="0" collapsed="false">
      <c r="B39" s="42"/>
      <c r="C39" s="49" t="str">
        <f aca="false">HYPERLINK("https://www.emi-penza.ru/p/6032.3829-05", "6032.3829-05")</f>
        <v>6032.3829-05</v>
      </c>
      <c r="D39" s="50" t="s">
        <v>28</v>
      </c>
      <c r="E39" s="50"/>
      <c r="F39" s="50"/>
      <c r="G39" s="50"/>
      <c r="H39" s="50"/>
      <c r="I39" s="51"/>
      <c r="J39" s="51" t="s">
        <v>10</v>
      </c>
      <c r="K39" s="51" t="str">
        <f aca="false">HYPERLINK("https://pub.fsa.gov.ru/rds/declaration/view/19350073/common", "ЕАЭС N RU Д-RU.РА08.В.20690/24")</f>
        <v>ЕАЭС N RU Д-RU.РА08.В.20690/24</v>
      </c>
      <c r="L39" s="52"/>
      <c r="M39" s="51"/>
      <c r="N39" s="53" t="s">
        <v>11</v>
      </c>
      <c r="O39" s="53" t="s">
        <v>12</v>
      </c>
    </row>
    <row r="40" customFormat="false" ht="15" hidden="false" customHeight="true" outlineLevel="0" collapsed="false">
      <c r="B40" s="54"/>
      <c r="C40" s="55"/>
      <c r="D40" s="56" t="s">
        <v>29</v>
      </c>
      <c r="E40" s="56"/>
      <c r="F40" s="56"/>
      <c r="G40" s="56"/>
      <c r="H40" s="56"/>
      <c r="I40" s="57"/>
      <c r="J40" s="57"/>
      <c r="K40" s="57"/>
      <c r="L40" s="58"/>
      <c r="M40" s="57"/>
      <c r="N40" s="59"/>
      <c r="O40" s="59"/>
    </row>
    <row r="41" customFormat="false" ht="13.6" hidden="false" customHeight="true" outlineLevel="0" collapsed="false">
      <c r="B41" s="48"/>
      <c r="C41" s="49" t="str">
        <f aca="false">HYPERLINK("https://www.emi-penza.ru/p/6042.3829", "6042.3829")</f>
        <v>6042.3829</v>
      </c>
      <c r="D41" s="50" t="s">
        <v>31</v>
      </c>
      <c r="E41" s="50"/>
      <c r="F41" s="50"/>
      <c r="G41" s="50"/>
      <c r="H41" s="50"/>
      <c r="I41" s="51"/>
      <c r="J41" s="51" t="s">
        <v>10</v>
      </c>
      <c r="K41" s="51" t="str">
        <f aca="false">HYPERLINK("https://pub.fsa.gov.ru/rds/declaration/view/19350073/common", "ЕАЭС N RU Д-RU.РА08.В.20690/24")</f>
        <v>ЕАЭС N RU Д-RU.РА08.В.20690/24</v>
      </c>
      <c r="L41" s="52"/>
      <c r="M41" s="51"/>
      <c r="N41" s="53" t="s">
        <v>11</v>
      </c>
      <c r="O41" s="53" t="s">
        <v>12</v>
      </c>
    </row>
    <row r="42" customFormat="false" ht="15" hidden="false" customHeight="true" outlineLevel="0" collapsed="false">
      <c r="B42" s="54"/>
      <c r="C42" s="55"/>
      <c r="D42" s="56"/>
      <c r="E42" s="56"/>
      <c r="F42" s="56"/>
      <c r="G42" s="56"/>
      <c r="H42" s="56"/>
      <c r="I42" s="57"/>
      <c r="J42" s="57"/>
      <c r="K42" s="57"/>
      <c r="L42" s="58"/>
      <c r="M42" s="57"/>
      <c r="N42" s="59"/>
      <c r="O42" s="59"/>
    </row>
    <row r="43" customFormat="false" ht="13.6" hidden="false" customHeight="true" outlineLevel="0" collapsed="false">
      <c r="B43" s="48"/>
      <c r="C43" s="49" t="str">
        <f aca="false">HYPERLINK("https://www.emi-penza.ru/p/6052.3829", "6052.3829")</f>
        <v>6052.3829</v>
      </c>
      <c r="D43" s="50" t="s">
        <v>32</v>
      </c>
      <c r="E43" s="50"/>
      <c r="F43" s="50"/>
      <c r="G43" s="50"/>
      <c r="H43" s="50"/>
      <c r="I43" s="51"/>
      <c r="J43" s="51" t="s">
        <v>10</v>
      </c>
      <c r="K43" s="51" t="str">
        <f aca="false">HYPERLINK("https://pub.fsa.gov.ru/rds/declaration/view/19350073/common", "ЕАЭС N RU Д-RU.РА08.В.20690/24")</f>
        <v>ЕАЭС N RU Д-RU.РА08.В.20690/24</v>
      </c>
      <c r="L43" s="52"/>
      <c r="M43" s="51"/>
      <c r="N43" s="53" t="s">
        <v>11</v>
      </c>
      <c r="O43" s="53" t="s">
        <v>12</v>
      </c>
    </row>
    <row r="44" customFormat="false" ht="15" hidden="false" customHeight="true" outlineLevel="0" collapsed="false">
      <c r="B44" s="54"/>
      <c r="C44" s="55"/>
      <c r="D44" s="56"/>
      <c r="E44" s="56"/>
      <c r="F44" s="56"/>
      <c r="G44" s="56"/>
      <c r="H44" s="56"/>
      <c r="I44" s="57"/>
      <c r="J44" s="57"/>
      <c r="K44" s="57"/>
      <c r="L44" s="58"/>
      <c r="M44" s="57"/>
      <c r="N44" s="59"/>
      <c r="O44" s="59"/>
    </row>
    <row r="45" customFormat="false" ht="13.6" hidden="false" customHeight="true" outlineLevel="0" collapsed="false">
      <c r="B45" s="48"/>
      <c r="C45" s="49" t="str">
        <f aca="false">HYPERLINK("https://www.emi-penza.ru/p/6052.3829-01", "6052.3829-01")</f>
        <v>6052.3829-01</v>
      </c>
      <c r="D45" s="50" t="s">
        <v>33</v>
      </c>
      <c r="E45" s="50"/>
      <c r="F45" s="50"/>
      <c r="G45" s="50"/>
      <c r="H45" s="50"/>
      <c r="I45" s="51"/>
      <c r="J45" s="51" t="s">
        <v>10</v>
      </c>
      <c r="K45" s="51" t="str">
        <f aca="false">HYPERLINK("https://pub.fsa.gov.ru/rds/declaration/view/19350073/common", "ЕАЭС N RU Д-RU.РА08.В.20690/24")</f>
        <v>ЕАЭС N RU Д-RU.РА08.В.20690/24</v>
      </c>
      <c r="L45" s="52"/>
      <c r="M45" s="51"/>
      <c r="N45" s="53" t="s">
        <v>11</v>
      </c>
      <c r="O45" s="53" t="s">
        <v>12</v>
      </c>
    </row>
    <row r="46" customFormat="false" ht="15" hidden="false" customHeight="true" outlineLevel="0" collapsed="false">
      <c r="B46" s="54"/>
      <c r="C46" s="55"/>
      <c r="D46" s="56" t="s">
        <v>34</v>
      </c>
      <c r="E46" s="56"/>
      <c r="F46" s="56"/>
      <c r="G46" s="56"/>
      <c r="H46" s="56"/>
      <c r="I46" s="57"/>
      <c r="J46" s="57"/>
      <c r="K46" s="57"/>
      <c r="L46" s="58"/>
      <c r="M46" s="57"/>
      <c r="N46" s="59"/>
      <c r="O46" s="59"/>
    </row>
    <row r="47" customFormat="false" ht="13.6" hidden="false" customHeight="true" outlineLevel="0" collapsed="false">
      <c r="B47" s="48"/>
      <c r="C47" s="49" t="str">
        <f aca="false">HYPERLINK("https://www.emi-penza.ru/p/6052.3829-03", "6052.3829-03")</f>
        <v>6052.3829-03</v>
      </c>
      <c r="D47" s="50" t="s">
        <v>32</v>
      </c>
      <c r="E47" s="50"/>
      <c r="F47" s="50"/>
      <c r="G47" s="50"/>
      <c r="H47" s="50"/>
      <c r="I47" s="51"/>
      <c r="J47" s="51" t="s">
        <v>10</v>
      </c>
      <c r="K47" s="51" t="str">
        <f aca="false">HYPERLINK("https://pub.fsa.gov.ru/rds/declaration/view/19350073/common", "ЕАЭС N RU Д-RU.РА08.В.20690/24")</f>
        <v>ЕАЭС N RU Д-RU.РА08.В.20690/24</v>
      </c>
      <c r="L47" s="52"/>
      <c r="M47" s="51"/>
      <c r="N47" s="53" t="s">
        <v>11</v>
      </c>
      <c r="O47" s="53" t="s">
        <v>12</v>
      </c>
    </row>
    <row r="48" customFormat="false" ht="15" hidden="false" customHeight="true" outlineLevel="0" collapsed="false">
      <c r="B48" s="54"/>
      <c r="C48" s="55"/>
      <c r="D48" s="56"/>
      <c r="E48" s="56"/>
      <c r="F48" s="56"/>
      <c r="G48" s="56"/>
      <c r="H48" s="56"/>
      <c r="I48" s="57"/>
      <c r="J48" s="57"/>
      <c r="K48" s="57"/>
      <c r="L48" s="58"/>
      <c r="M48" s="57"/>
      <c r="N48" s="59"/>
      <c r="O48" s="59"/>
    </row>
    <row r="49" customFormat="false" ht="18.15" hidden="false" customHeight="true" outlineLevel="0" collapsed="false">
      <c r="B49" s="42"/>
      <c r="C49" s="43" t="str">
        <f aca="false">HYPERLINK("https://www.emi-penza.ru/p/6062.3829", "6062.3829")</f>
        <v>6062.3829</v>
      </c>
      <c r="D49" s="44" t="s">
        <v>35</v>
      </c>
      <c r="E49" s="44"/>
      <c r="F49" s="44"/>
      <c r="G49" s="44"/>
      <c r="H49" s="60" t="s">
        <v>36</v>
      </c>
      <c r="I49" s="45"/>
      <c r="J49" s="45" t="s">
        <v>10</v>
      </c>
      <c r="K49" s="45" t="str">
        <f aca="false">HYPERLINK("https://pub.fsa.gov.ru/rds/declaration/view/19350073/common", "ЕАЭС N RU Д-RU.РА08.В.20690/24")</f>
        <v>ЕАЭС N RU Д-RU.РА08.В.20690/24</v>
      </c>
      <c r="L49" s="46"/>
      <c r="M49" s="45"/>
      <c r="N49" s="47" t="s">
        <v>11</v>
      </c>
      <c r="O49" s="47" t="s">
        <v>12</v>
      </c>
    </row>
    <row r="50" customFormat="false" ht="18.15" hidden="false" customHeight="true" outlineLevel="0" collapsed="false">
      <c r="B50" s="42"/>
      <c r="C50" s="43" t="str">
        <f aca="false">HYPERLINK("https://www.emi-penza.ru/p/6072.3829", "6072.3829")</f>
        <v>6072.3829</v>
      </c>
      <c r="D50" s="44"/>
      <c r="E50" s="44"/>
      <c r="F50" s="44"/>
      <c r="G50" s="44"/>
      <c r="H50" s="44"/>
      <c r="I50" s="45"/>
      <c r="J50" s="45" t="s">
        <v>10</v>
      </c>
      <c r="K50" s="45" t="str">
        <f aca="false">HYPERLINK("https://pub.fsa.gov.ru/rds/declaration/view/19350073/common", "ЕАЭС N RU Д-RU.РА08.В.20690/24")</f>
        <v>ЕАЭС N RU Д-RU.РА08.В.20690/24</v>
      </c>
      <c r="L50" s="46"/>
      <c r="M50" s="45"/>
      <c r="N50" s="47" t="s">
        <v>11</v>
      </c>
      <c r="O50" s="47" t="s">
        <v>12</v>
      </c>
    </row>
    <row r="51" customFormat="false" ht="18.15" hidden="false" customHeight="true" outlineLevel="0" collapsed="false">
      <c r="B51" s="42"/>
      <c r="C51" s="43" t="str">
        <f aca="false">HYPERLINK("https://www.emi-penza.ru/p/6072.3829-03", "6072.3829-03")</f>
        <v>6072.3829-03</v>
      </c>
      <c r="D51" s="44"/>
      <c r="E51" s="44"/>
      <c r="F51" s="44"/>
      <c r="G51" s="44"/>
      <c r="H51" s="44"/>
      <c r="I51" s="45"/>
      <c r="J51" s="45" t="s">
        <v>10</v>
      </c>
      <c r="K51" s="45" t="str">
        <f aca="false">HYPERLINK("https://pub.fsa.gov.ru/rds/declaration/view/19350073/common", "ЕАЭС N RU Д-RU.РА08.В.20690/24")</f>
        <v>ЕАЭС N RU Д-RU.РА08.В.20690/24</v>
      </c>
      <c r="L51" s="46"/>
      <c r="M51" s="45"/>
      <c r="N51" s="47" t="s">
        <v>11</v>
      </c>
      <c r="O51" s="47" t="s">
        <v>12</v>
      </c>
    </row>
    <row r="52" customFormat="false" ht="18.15" hidden="false" customHeight="true" outlineLevel="0" collapsed="false">
      <c r="B52" s="42"/>
      <c r="C52" s="43" t="str">
        <f aca="false">HYPERLINK("https://www.emi-penza.ru/p/6072.3829-04", "6072.3829-04")</f>
        <v>6072.3829-04</v>
      </c>
      <c r="D52" s="44"/>
      <c r="E52" s="44"/>
      <c r="F52" s="44"/>
      <c r="G52" s="44"/>
      <c r="H52" s="44"/>
      <c r="I52" s="45"/>
      <c r="J52" s="45" t="s">
        <v>10</v>
      </c>
      <c r="K52" s="45" t="str">
        <f aca="false">HYPERLINK("https://pub.fsa.gov.ru/rds/declaration/view/19350073/common", "ЕАЭС N RU Д-RU.РА08.В.20690/24")</f>
        <v>ЕАЭС N RU Д-RU.РА08.В.20690/24</v>
      </c>
      <c r="L52" s="46"/>
      <c r="M52" s="45"/>
      <c r="N52" s="47" t="s">
        <v>11</v>
      </c>
      <c r="O52" s="47" t="s">
        <v>12</v>
      </c>
    </row>
    <row r="53" customFormat="false" ht="13.6" hidden="false" customHeight="true" outlineLevel="0" collapsed="false">
      <c r="B53" s="48"/>
      <c r="C53" s="49" t="str">
        <f aca="false">HYPERLINK("https://www.emi-penza.ru/p/6072.3829-05", "6072.3829-05")</f>
        <v>6072.3829-05</v>
      </c>
      <c r="D53" s="50" t="s">
        <v>37</v>
      </c>
      <c r="E53" s="50"/>
      <c r="F53" s="50"/>
      <c r="G53" s="50"/>
      <c r="H53" s="50"/>
      <c r="I53" s="51"/>
      <c r="J53" s="51" t="s">
        <v>10</v>
      </c>
      <c r="K53" s="51" t="str">
        <f aca="false">HYPERLINK("https://pub.fsa.gov.ru/rds/declaration/view/19350073/common", "ЕАЭС N RU Д-RU.РА08.В.20690/24")</f>
        <v>ЕАЭС N RU Д-RU.РА08.В.20690/24</v>
      </c>
      <c r="L53" s="52"/>
      <c r="M53" s="51"/>
      <c r="N53" s="53" t="s">
        <v>11</v>
      </c>
      <c r="O53" s="53" t="s">
        <v>12</v>
      </c>
    </row>
    <row r="54" customFormat="false" ht="15" hidden="false" customHeight="true" outlineLevel="0" collapsed="false">
      <c r="B54" s="54"/>
      <c r="C54" s="55"/>
      <c r="D54" s="56" t="s">
        <v>38</v>
      </c>
      <c r="E54" s="56"/>
      <c r="F54" s="56"/>
      <c r="G54" s="56"/>
      <c r="H54" s="61"/>
      <c r="I54" s="57"/>
      <c r="J54" s="57"/>
      <c r="K54" s="57"/>
      <c r="L54" s="58"/>
      <c r="M54" s="57"/>
      <c r="N54" s="59"/>
      <c r="O54" s="59"/>
    </row>
    <row r="55" customFormat="false" ht="18.15" hidden="false" customHeight="true" outlineLevel="0" collapsed="false">
      <c r="B55" s="42"/>
      <c r="C55" s="43" t="str">
        <f aca="false">HYPERLINK("https://www.emi-penza.ru/p/6072.3829-06_(0,9_bar)", "6072.3829-06 (0,9 бар)")</f>
        <v>6072.3829-06 (0,9 бар)</v>
      </c>
      <c r="D55" s="44"/>
      <c r="E55" s="44"/>
      <c r="F55" s="44" t="s">
        <v>39</v>
      </c>
      <c r="G55" s="44"/>
      <c r="H55" s="60"/>
      <c r="I55" s="45"/>
      <c r="J55" s="45" t="s">
        <v>10</v>
      </c>
      <c r="K55" s="45" t="str">
        <f aca="false">HYPERLINK("https://pub.fsa.gov.ru/rds/declaration/view/19350073/common", "ЕАЭС N RU Д-RU.РА08.В.20690/24")</f>
        <v>ЕАЭС N RU Д-RU.РА08.В.20690/24</v>
      </c>
      <c r="L55" s="46"/>
      <c r="M55" s="45"/>
      <c r="N55" s="47" t="s">
        <v>11</v>
      </c>
      <c r="O55" s="47" t="s">
        <v>12</v>
      </c>
    </row>
    <row r="56" customFormat="false" ht="13.6" hidden="false" customHeight="true" outlineLevel="0" collapsed="false">
      <c r="B56" s="48"/>
      <c r="C56" s="49" t="str">
        <f aca="false">HYPERLINK("https://www.emi-penza.ru/p/6072.3829-06_(2,0_bar)", "6072.3829-06 (2,0 бар)")</f>
        <v>6072.3829-06 (2,0 бар)</v>
      </c>
      <c r="D56" s="50"/>
      <c r="E56" s="50"/>
      <c r="F56" s="50" t="s">
        <v>40</v>
      </c>
      <c r="G56" s="50"/>
      <c r="H56" s="62"/>
      <c r="I56" s="51"/>
      <c r="J56" s="51" t="s">
        <v>10</v>
      </c>
      <c r="K56" s="51" t="str">
        <f aca="false">HYPERLINK("https://pub.fsa.gov.ru/rds/declaration/view/19350073/common", "ЕАЭС N RU Д-RU.РА08.В.20690/24")</f>
        <v>ЕАЭС N RU Д-RU.РА08.В.20690/24</v>
      </c>
      <c r="L56" s="52"/>
      <c r="M56" s="51"/>
      <c r="N56" s="53" t="s">
        <v>11</v>
      </c>
      <c r="O56" s="53" t="s">
        <v>12</v>
      </c>
    </row>
    <row r="57" customFormat="false" ht="13.6" hidden="false" customHeight="true" outlineLevel="0" collapsed="false">
      <c r="B57" s="63"/>
      <c r="C57" s="64"/>
      <c r="D57" s="65"/>
      <c r="E57" s="66"/>
      <c r="F57" s="66" t="s">
        <v>41</v>
      </c>
      <c r="G57" s="67"/>
      <c r="H57" s="67"/>
      <c r="I57" s="66"/>
      <c r="J57" s="66"/>
      <c r="K57" s="66"/>
      <c r="L57" s="67"/>
      <c r="M57" s="66"/>
      <c r="N57" s="68"/>
      <c r="O57" s="68"/>
      <c r="P57" s="67"/>
    </row>
    <row r="58" customFormat="false" ht="28.35" hidden="false" customHeight="true" outlineLevel="0" collapsed="false">
      <c r="B58" s="69"/>
      <c r="C58" s="70"/>
      <c r="D58" s="71"/>
      <c r="E58" s="71"/>
      <c r="F58" s="71"/>
      <c r="G58" s="71"/>
      <c r="H58" s="72"/>
      <c r="I58" s="73"/>
      <c r="J58" s="73"/>
      <c r="K58" s="73"/>
      <c r="L58" s="72"/>
      <c r="M58" s="73"/>
      <c r="N58" s="74"/>
      <c r="O58" s="74"/>
    </row>
    <row r="59" customFormat="false" ht="18.15" hidden="false" customHeight="true" outlineLevel="0" collapsed="false">
      <c r="B59" s="42"/>
      <c r="C59" s="43" t="str">
        <f aca="false">HYPERLINK("https://www.emi-penza.ru/p/3602.3828", "3602.3828")</f>
        <v>3602.3828</v>
      </c>
      <c r="D59" s="44" t="s">
        <v>42</v>
      </c>
      <c r="E59" s="44"/>
      <c r="F59" s="44"/>
      <c r="G59" s="44"/>
      <c r="H59" s="44"/>
      <c r="I59" s="45"/>
      <c r="J59" s="45"/>
      <c r="K59" s="45"/>
      <c r="L59" s="46"/>
      <c r="M59" s="45"/>
      <c r="N59" s="47"/>
      <c r="O59" s="47"/>
    </row>
    <row r="60" customFormat="false" ht="18.15" hidden="false" customHeight="true" outlineLevel="0" collapsed="false">
      <c r="B60" s="42"/>
      <c r="C60" s="43" t="str">
        <f aca="false">HYPERLINK("https://www.emi-penza.ru/p/3602.3828-01", "3602.3828-01")</f>
        <v>3602.3828-01</v>
      </c>
      <c r="D60" s="44" t="s">
        <v>43</v>
      </c>
      <c r="E60" s="44"/>
      <c r="F60" s="44"/>
      <c r="G60" s="44"/>
      <c r="H60" s="44"/>
      <c r="I60" s="45"/>
      <c r="J60" s="45"/>
      <c r="K60" s="45"/>
      <c r="L60" s="46"/>
      <c r="M60" s="45"/>
      <c r="N60" s="47"/>
      <c r="O60" s="47"/>
    </row>
    <row r="61" customFormat="false" ht="13.6" hidden="false" customHeight="true" outlineLevel="0" collapsed="false">
      <c r="B61" s="48"/>
      <c r="C61" s="49" t="str">
        <f aca="false">HYPERLINK("https://www.emi-penza.ru/p/30.3847", "30.3847")</f>
        <v>30.3847</v>
      </c>
      <c r="D61" s="50" t="s">
        <v>44</v>
      </c>
      <c r="E61" s="50"/>
      <c r="F61" s="50"/>
      <c r="G61" s="50"/>
      <c r="H61" s="50"/>
      <c r="I61" s="51"/>
      <c r="J61" s="51" t="s">
        <v>45</v>
      </c>
      <c r="K61" s="51" t="str">
        <f aca="false">HYPERLINK("https://pub.fsa.gov.ru/rss/certificate/view/3237507/baseInfo", "ЕАЭС RU С-RU.АИ24.В.00750/23")</f>
        <v>ЕАЭС RU С-RU.АИ24.В.00750/23</v>
      </c>
      <c r="L61" s="52"/>
      <c r="M61" s="51"/>
      <c r="N61" s="53" t="s">
        <v>46</v>
      </c>
      <c r="O61" s="53" t="s">
        <v>47</v>
      </c>
    </row>
    <row r="62" customFormat="false" ht="15" hidden="false" customHeight="true" outlineLevel="0" collapsed="false">
      <c r="B62" s="54"/>
      <c r="C62" s="55"/>
      <c r="D62" s="56"/>
      <c r="E62" s="56"/>
      <c r="F62" s="56"/>
      <c r="G62" s="56"/>
      <c r="H62" s="61" t="s">
        <v>36</v>
      </c>
      <c r="I62" s="57"/>
      <c r="J62" s="57"/>
      <c r="K62" s="57"/>
      <c r="L62" s="58"/>
      <c r="M62" s="57"/>
      <c r="N62" s="59"/>
      <c r="O62" s="59"/>
    </row>
    <row r="63" customFormat="false" ht="13.6" hidden="false" customHeight="true" outlineLevel="0" collapsed="false">
      <c r="B63" s="48"/>
      <c r="C63" s="49" t="str">
        <f aca="false">HYPERLINK("https://www.emi-penza.ru/p/56.3843", "56.3843")</f>
        <v>56.3843</v>
      </c>
      <c r="D63" s="50" t="s">
        <v>48</v>
      </c>
      <c r="E63" s="50"/>
      <c r="F63" s="50"/>
      <c r="G63" s="50"/>
      <c r="H63" s="50"/>
      <c r="I63" s="51"/>
      <c r="J63" s="51" t="s">
        <v>45</v>
      </c>
      <c r="K63" s="51" t="str">
        <f aca="false">HYPERLINK("https://pub.fsa.gov.ru/rss/certificate/view/3237507/baseInfo", "ЕАЭС RU С-RU.АИ24.В.00750/23")</f>
        <v>ЕАЭС RU С-RU.АИ24.В.00750/23</v>
      </c>
      <c r="L63" s="52"/>
      <c r="M63" s="51"/>
      <c r="N63" s="53" t="s">
        <v>46</v>
      </c>
      <c r="O63" s="53" t="s">
        <v>47</v>
      </c>
    </row>
    <row r="64" customFormat="false" ht="15" hidden="false" customHeight="true" outlineLevel="0" collapsed="false">
      <c r="B64" s="54"/>
      <c r="C64" s="55"/>
      <c r="D64" s="56" t="s">
        <v>49</v>
      </c>
      <c r="E64" s="56"/>
      <c r="F64" s="56"/>
      <c r="G64" s="56"/>
      <c r="H64" s="56"/>
      <c r="I64" s="57"/>
      <c r="J64" s="57"/>
      <c r="K64" s="57"/>
      <c r="L64" s="58"/>
      <c r="M64" s="57"/>
      <c r="N64" s="59"/>
      <c r="O64" s="59"/>
    </row>
    <row r="65" customFormat="false" ht="18.15" hidden="false" customHeight="true" outlineLevel="0" collapsed="false">
      <c r="B65" s="42"/>
      <c r="C65" s="43" t="str">
        <f aca="false">HYPERLINK("https://www.emi-penza.ru/p/64.3855", "64.3855")</f>
        <v>64.3855</v>
      </c>
      <c r="D65" s="44" t="s">
        <v>50</v>
      </c>
      <c r="E65" s="44"/>
      <c r="F65" s="44"/>
      <c r="G65" s="44"/>
      <c r="H65" s="44"/>
      <c r="I65" s="45"/>
      <c r="J65" s="45"/>
      <c r="K65" s="45"/>
      <c r="L65" s="46"/>
      <c r="M65" s="45"/>
      <c r="N65" s="47"/>
      <c r="O65" s="47"/>
    </row>
    <row r="66" customFormat="false" ht="18.15" hidden="false" customHeight="true" outlineLevel="0" collapsed="false">
      <c r="B66" s="42"/>
      <c r="C66" s="43" t="str">
        <f aca="false">HYPERLINK("https://www.emi-penza.ru/p/64.3855-01", "64.3855-01")</f>
        <v>64.3855-01</v>
      </c>
      <c r="D66" s="44" t="s">
        <v>51</v>
      </c>
      <c r="E66" s="44"/>
      <c r="F66" s="44"/>
      <c r="G66" s="44"/>
      <c r="H66" s="44"/>
      <c r="I66" s="45"/>
      <c r="J66" s="45"/>
      <c r="K66" s="45"/>
      <c r="L66" s="46"/>
      <c r="M66" s="45"/>
      <c r="N66" s="47"/>
      <c r="O66" s="47"/>
    </row>
    <row r="67" customFormat="false" ht="18.15" hidden="false" customHeight="true" outlineLevel="0" collapsed="false">
      <c r="B67" s="42"/>
      <c r="C67" s="43" t="str">
        <f aca="false">HYPERLINK("https://www.emi-penza.ru/p/64.3855-02", "64.3855-02")</f>
        <v>64.3855-02</v>
      </c>
      <c r="D67" s="44" t="s">
        <v>52</v>
      </c>
      <c r="E67" s="44"/>
      <c r="F67" s="44"/>
      <c r="G67" s="44"/>
      <c r="H67" s="44"/>
      <c r="I67" s="45"/>
      <c r="J67" s="45"/>
      <c r="K67" s="45"/>
      <c r="L67" s="46"/>
      <c r="M67" s="45"/>
      <c r="N67" s="47"/>
      <c r="O67" s="47"/>
    </row>
    <row r="68" customFormat="false" ht="18.15" hidden="false" customHeight="true" outlineLevel="0" collapsed="false">
      <c r="B68" s="42"/>
      <c r="C68" s="43" t="str">
        <f aca="false">HYPERLINK("https://www.emi-penza.ru/p/64.3855-03", "64.3855-03")</f>
        <v>64.3855-03</v>
      </c>
      <c r="D68" s="44" t="s">
        <v>53</v>
      </c>
      <c r="E68" s="44"/>
      <c r="F68" s="44"/>
      <c r="G68" s="44"/>
      <c r="H68" s="44"/>
      <c r="I68" s="45"/>
      <c r="J68" s="45"/>
      <c r="K68" s="45"/>
      <c r="L68" s="46"/>
      <c r="M68" s="45"/>
      <c r="N68" s="47"/>
      <c r="O68" s="47"/>
    </row>
    <row r="69" customFormat="false" ht="18.15" hidden="false" customHeight="true" outlineLevel="0" collapsed="false">
      <c r="B69" s="42"/>
      <c r="C69" s="43" t="str">
        <f aca="false">HYPERLINK("https://www.emi-penza.ru/p/64.3855-04", "64.3855-04")</f>
        <v>64.3855-04</v>
      </c>
      <c r="D69" s="44"/>
      <c r="E69" s="44"/>
      <c r="F69" s="44"/>
      <c r="G69" s="44"/>
      <c r="H69" s="44"/>
      <c r="I69" s="45"/>
      <c r="J69" s="45"/>
      <c r="K69" s="45"/>
      <c r="L69" s="46"/>
      <c r="M69" s="45"/>
      <c r="N69" s="47"/>
      <c r="O69" s="47"/>
    </row>
    <row r="70" customFormat="false" ht="18.15" hidden="false" customHeight="true" outlineLevel="0" collapsed="false">
      <c r="B70" s="75"/>
      <c r="C70" s="76" t="str">
        <f aca="false">HYPERLINK("https://www.emi-penza.ru/p/4102.3847", "4102.3847")</f>
        <v>4102.3847</v>
      </c>
      <c r="D70" s="77" t="s">
        <v>54</v>
      </c>
      <c r="E70" s="77"/>
      <c r="F70" s="77"/>
      <c r="G70" s="77"/>
      <c r="H70" s="77"/>
      <c r="I70" s="78"/>
      <c r="J70" s="78" t="s">
        <v>45</v>
      </c>
      <c r="K70" s="78" t="str">
        <f aca="false">HYPERLINK("https://pub.fsa.gov.ru/rss/certificate/view/3237507/baseInfo", "ЕАЭС RU С-RU.АИ24.В.00750/23")</f>
        <v>ЕАЭС RU С-RU.АИ24.В.00750/23</v>
      </c>
      <c r="L70" s="77"/>
      <c r="M70" s="78"/>
      <c r="N70" s="79" t="s">
        <v>46</v>
      </c>
      <c r="O70" s="79" t="s">
        <v>47</v>
      </c>
    </row>
    <row r="71" customFormat="false" ht="9.95" hidden="false" customHeight="true" outlineLevel="0" collapsed="false">
      <c r="B71" s="74"/>
      <c r="I71" s="4"/>
      <c r="N71" s="3"/>
      <c r="O71" s="3"/>
    </row>
    <row r="72" customFormat="false" ht="22.7" hidden="false" customHeight="true" outlineLevel="0" collapsed="false">
      <c r="B72" s="3"/>
      <c r="C72" s="35" t="s">
        <v>55</v>
      </c>
      <c r="D72" s="36"/>
      <c r="E72" s="36"/>
      <c r="F72" s="36"/>
      <c r="G72" s="36"/>
      <c r="H72" s="36"/>
      <c r="I72" s="37"/>
      <c r="J72" s="37"/>
      <c r="K72" s="37"/>
      <c r="L72" s="38"/>
      <c r="M72" s="37"/>
      <c r="N72" s="80"/>
      <c r="O72" s="80"/>
    </row>
    <row r="73" customFormat="false" ht="16.15" hidden="false" customHeight="true" outlineLevel="0" collapsed="false">
      <c r="B73" s="40" t="s">
        <v>7</v>
      </c>
      <c r="C73" s="41" t="s">
        <v>8</v>
      </c>
      <c r="I73" s="4"/>
      <c r="N73" s="3"/>
      <c r="O73" s="3"/>
    </row>
    <row r="74" customFormat="false" ht="18.15" hidden="false" customHeight="true" outlineLevel="0" collapsed="false">
      <c r="B74" s="42"/>
      <c r="C74" s="43" t="str">
        <f aca="false">HYPERLINK("https://www.emi-penza.ru/p/4102.3847-01", "4102.3847-01")</f>
        <v>4102.3847-01</v>
      </c>
      <c r="D74" s="44" t="s">
        <v>56</v>
      </c>
      <c r="E74" s="44"/>
      <c r="F74" s="44"/>
      <c r="G74" s="44"/>
      <c r="H74" s="44"/>
      <c r="I74" s="45"/>
      <c r="J74" s="45" t="s">
        <v>45</v>
      </c>
      <c r="K74" s="45" t="str">
        <f aca="false">HYPERLINK("https://pub.fsa.gov.ru/rss/certificate/view/3237507/baseInfo", "ЕАЭС RU С-RU.АИ24.В.00750/23")</f>
        <v>ЕАЭС RU С-RU.АИ24.В.00750/23</v>
      </c>
      <c r="L74" s="46"/>
      <c r="M74" s="45"/>
      <c r="N74" s="47" t="s">
        <v>46</v>
      </c>
      <c r="O74" s="47" t="s">
        <v>47</v>
      </c>
    </row>
    <row r="75" customFormat="false" ht="18.15" hidden="false" customHeight="true" outlineLevel="0" collapsed="false">
      <c r="B75" s="42"/>
      <c r="C75" s="43" t="str">
        <f aca="false">HYPERLINK("https://www.emi-penza.ru/p/4102.3847-02", "4102.3847-02")</f>
        <v>4102.3847-02</v>
      </c>
      <c r="D75" s="44" t="s">
        <v>57</v>
      </c>
      <c r="E75" s="44"/>
      <c r="F75" s="44"/>
      <c r="G75" s="44"/>
      <c r="H75" s="44"/>
      <c r="I75" s="45"/>
      <c r="J75" s="45" t="s">
        <v>45</v>
      </c>
      <c r="K75" s="45" t="str">
        <f aca="false">HYPERLINK("https://pub.fsa.gov.ru/rss/certificate/view/3237507/baseInfo", "ЕАЭС RU С-RU.АИ24.В.00750/23")</f>
        <v>ЕАЭС RU С-RU.АИ24.В.00750/23</v>
      </c>
      <c r="L75" s="46"/>
      <c r="M75" s="45"/>
      <c r="N75" s="47" t="s">
        <v>46</v>
      </c>
      <c r="O75" s="47" t="s">
        <v>47</v>
      </c>
    </row>
    <row r="76" customFormat="false" ht="18.15" hidden="false" customHeight="true" outlineLevel="0" collapsed="false">
      <c r="B76" s="42"/>
      <c r="C76" s="43" t="str">
        <f aca="false">HYPERLINK("https://www.emi-penza.ru/p/4102.3847-03", "4102.3847-03")</f>
        <v>4102.3847-03</v>
      </c>
      <c r="D76" s="44"/>
      <c r="E76" s="44"/>
      <c r="F76" s="44"/>
      <c r="G76" s="44"/>
      <c r="H76" s="44"/>
      <c r="I76" s="45"/>
      <c r="J76" s="45" t="s">
        <v>45</v>
      </c>
      <c r="K76" s="45" t="str">
        <f aca="false">HYPERLINK("https://pub.fsa.gov.ru/rss/certificate/view/3237507/baseInfo", "ЕАЭС RU С-RU.АИ24.В.00750/23")</f>
        <v>ЕАЭС RU С-RU.АИ24.В.00750/23</v>
      </c>
      <c r="L76" s="46"/>
      <c r="M76" s="45"/>
      <c r="N76" s="47" t="s">
        <v>46</v>
      </c>
      <c r="O76" s="47" t="s">
        <v>47</v>
      </c>
    </row>
    <row r="77" customFormat="false" ht="18.15" hidden="false" customHeight="true" outlineLevel="0" collapsed="false">
      <c r="B77" s="42"/>
      <c r="C77" s="43" t="str">
        <f aca="false">HYPERLINK("https://www.emi-penza.ru/p/4102.3847-05", "4102.3847-05")</f>
        <v>4102.3847-05</v>
      </c>
      <c r="D77" s="44" t="s">
        <v>58</v>
      </c>
      <c r="E77" s="44"/>
      <c r="F77" s="44"/>
      <c r="G77" s="44"/>
      <c r="H77" s="44"/>
      <c r="I77" s="45"/>
      <c r="J77" s="45" t="s">
        <v>45</v>
      </c>
      <c r="K77" s="45" t="str">
        <f aca="false">HYPERLINK("https://pub.fsa.gov.ru/rss/certificate/view/3237507/baseInfo", "ЕАЭС RU С-RU.АИ24.В.00750/23")</f>
        <v>ЕАЭС RU С-RU.АИ24.В.00750/23</v>
      </c>
      <c r="L77" s="46"/>
      <c r="M77" s="45"/>
      <c r="N77" s="47" t="s">
        <v>46</v>
      </c>
      <c r="O77" s="47" t="s">
        <v>47</v>
      </c>
    </row>
    <row r="78" customFormat="false" ht="18.15" hidden="false" customHeight="true" outlineLevel="0" collapsed="false">
      <c r="B78" s="42"/>
      <c r="C78" s="46" t="str">
        <f aca="false">HYPERLINK("https://www.emi-penza.ru/p/4102.3847-05_SO", "4102.3847-05 СЗ")</f>
        <v>4102.3847-05 СЗ</v>
      </c>
      <c r="D78" s="44"/>
      <c r="E78" s="44"/>
      <c r="F78" s="44"/>
      <c r="G78" s="44"/>
      <c r="H78" s="44"/>
      <c r="I78" s="45"/>
      <c r="J78" s="45"/>
      <c r="K78" s="45"/>
      <c r="L78" s="46"/>
      <c r="M78" s="45"/>
      <c r="N78" s="47"/>
      <c r="O78" s="47"/>
    </row>
    <row r="79" customFormat="false" ht="18.15" hidden="false" customHeight="true" outlineLevel="0" collapsed="false">
      <c r="B79" s="42" t="s">
        <v>7</v>
      </c>
      <c r="C79" s="46" t="str">
        <f aca="false">HYPERLINK("https://www.emi-penza.ru/p/4102.3847-06", "4102.3847-06")</f>
        <v>4102.3847-06</v>
      </c>
      <c r="D79" s="44"/>
      <c r="E79" s="44"/>
      <c r="F79" s="44"/>
      <c r="G79" s="44"/>
      <c r="H79" s="44"/>
      <c r="I79" s="45"/>
      <c r="J79" s="45" t="s">
        <v>45</v>
      </c>
      <c r="K79" s="45" t="str">
        <f aca="false">HYPERLINK("https://pub.fsa.gov.ru/rss/certificate/view/3237507/baseInfo", "ЕАЭС RU С-RU.АИ24.В.00750/23")</f>
        <v>ЕАЭС RU С-RU.АИ24.В.00750/23</v>
      </c>
      <c r="L79" s="46"/>
      <c r="M79" s="45"/>
      <c r="N79" s="47" t="s">
        <v>46</v>
      </c>
      <c r="O79" s="47" t="s">
        <v>47</v>
      </c>
    </row>
    <row r="80" customFormat="false" ht="13.6" hidden="false" customHeight="true" outlineLevel="0" collapsed="false">
      <c r="B80" s="48"/>
      <c r="C80" s="49" t="str">
        <f aca="false">HYPERLINK("https://www.emi-penza.ru/p/4102.3847-07", "4102.3847-07")</f>
        <v>4102.3847-07</v>
      </c>
      <c r="D80" s="50" t="s">
        <v>59</v>
      </c>
      <c r="E80" s="50"/>
      <c r="F80" s="50"/>
      <c r="G80" s="50"/>
      <c r="H80" s="50"/>
      <c r="I80" s="51"/>
      <c r="J80" s="51" t="s">
        <v>45</v>
      </c>
      <c r="K80" s="51" t="str">
        <f aca="false">HYPERLINK("https://pub.fsa.gov.ru/rss/certificate/view/3237507/baseInfo", "ЕАЭС RU С-RU.АИ24.В.00750/23")</f>
        <v>ЕАЭС RU С-RU.АИ24.В.00750/23</v>
      </c>
      <c r="L80" s="52"/>
      <c r="M80" s="51"/>
      <c r="N80" s="53" t="s">
        <v>46</v>
      </c>
      <c r="O80" s="53" t="s">
        <v>47</v>
      </c>
    </row>
    <row r="81" customFormat="false" ht="15" hidden="false" customHeight="true" outlineLevel="0" collapsed="false">
      <c r="B81" s="54"/>
      <c r="C81" s="55"/>
      <c r="D81" s="56" t="s">
        <v>60</v>
      </c>
      <c r="E81" s="56"/>
      <c r="F81" s="56"/>
      <c r="G81" s="56"/>
      <c r="H81" s="56"/>
      <c r="I81" s="57"/>
      <c r="J81" s="57"/>
      <c r="K81" s="57"/>
      <c r="L81" s="58"/>
      <c r="M81" s="57"/>
      <c r="N81" s="59"/>
      <c r="O81" s="59"/>
    </row>
    <row r="82" customFormat="false" ht="18.15" hidden="false" customHeight="true" outlineLevel="0" collapsed="false">
      <c r="B82" s="42"/>
      <c r="C82" s="81" t="str">
        <f aca="false">HYPERLINK("https://www.emi-penza.ru/p/4102.3847-14", "4102.3847-14")</f>
        <v>4102.3847-14</v>
      </c>
      <c r="D82" s="44"/>
      <c r="E82" s="44"/>
      <c r="F82" s="44"/>
      <c r="G82" s="44"/>
      <c r="H82" s="44"/>
      <c r="I82" s="45"/>
      <c r="J82" s="45" t="s">
        <v>45</v>
      </c>
      <c r="K82" s="45" t="str">
        <f aca="false">HYPERLINK("https://pub.fsa.gov.ru/rss/certificate/view/3237507/baseInfo", "ЕАЭС RU С-RU.АИ24.В.00750/23")</f>
        <v>ЕАЭС RU С-RU.АИ24.В.00750/23</v>
      </c>
      <c r="L82" s="46"/>
      <c r="M82" s="45"/>
      <c r="N82" s="47" t="s">
        <v>46</v>
      </c>
      <c r="O82" s="47" t="s">
        <v>47</v>
      </c>
    </row>
    <row r="83" customFormat="false" ht="18.15" hidden="false" customHeight="true" outlineLevel="0" collapsed="false">
      <c r="B83" s="42"/>
      <c r="C83" s="43" t="str">
        <f aca="false">HYPERLINK("https://www.emi-penza.ru/p/4102.3847-15", "4102.3847-15")</f>
        <v>4102.3847-15</v>
      </c>
      <c r="D83" s="44" t="s">
        <v>61</v>
      </c>
      <c r="E83" s="44"/>
      <c r="F83" s="44"/>
      <c r="G83" s="44"/>
      <c r="H83" s="44"/>
      <c r="I83" s="45"/>
      <c r="J83" s="45" t="s">
        <v>45</v>
      </c>
      <c r="K83" s="45" t="str">
        <f aca="false">HYPERLINK("https://pub.fsa.gov.ru/rss/certificate/view/3237507/baseInfo", "ЕАЭС RU С-RU.АИ24.В.00750/23")</f>
        <v>ЕАЭС RU С-RU.АИ24.В.00750/23</v>
      </c>
      <c r="L83" s="46"/>
      <c r="M83" s="45"/>
      <c r="N83" s="47" t="s">
        <v>46</v>
      </c>
      <c r="O83" s="47" t="s">
        <v>47</v>
      </c>
    </row>
    <row r="84" customFormat="false" ht="18.15" hidden="false" customHeight="true" outlineLevel="0" collapsed="false">
      <c r="B84" s="42"/>
      <c r="C84" s="43" t="str">
        <f aca="false">HYPERLINK("https://www.emi-penza.ru/p/4102.3847-16", "4102.3847-16")</f>
        <v>4102.3847-16</v>
      </c>
      <c r="D84" s="44" t="s">
        <v>62</v>
      </c>
      <c r="E84" s="44"/>
      <c r="F84" s="44"/>
      <c r="G84" s="44"/>
      <c r="H84" s="44"/>
      <c r="I84" s="45"/>
      <c r="J84" s="45" t="s">
        <v>45</v>
      </c>
      <c r="K84" s="45" t="str">
        <f aca="false">HYPERLINK("https://pub.fsa.gov.ru/rss/certificate/view/3237507/baseInfo", "ЕАЭС RU С-RU.АИ24.В.00750/23")</f>
        <v>ЕАЭС RU С-RU.АИ24.В.00750/23</v>
      </c>
      <c r="L84" s="46"/>
      <c r="M84" s="45"/>
      <c r="N84" s="47" t="s">
        <v>46</v>
      </c>
      <c r="O84" s="47" t="s">
        <v>47</v>
      </c>
    </row>
    <row r="85" customFormat="false" ht="18.15" hidden="false" customHeight="true" outlineLevel="0" collapsed="false">
      <c r="B85" s="42"/>
      <c r="C85" s="43" t="str">
        <f aca="false">HYPERLINK("https://www.emi-penza.ru/p/4102.3847-17", "4102.3847-17")</f>
        <v>4102.3847-17</v>
      </c>
      <c r="D85" s="44" t="s">
        <v>63</v>
      </c>
      <c r="E85" s="44"/>
      <c r="F85" s="44"/>
      <c r="G85" s="44"/>
      <c r="H85" s="44"/>
      <c r="I85" s="45"/>
      <c r="J85" s="45" t="s">
        <v>45</v>
      </c>
      <c r="K85" s="45" t="str">
        <f aca="false">HYPERLINK("https://pub.fsa.gov.ru/rss/certificate/view/3237507/baseInfo", "ЕАЭС RU С-RU.АИ24.В.00750/23")</f>
        <v>ЕАЭС RU С-RU.АИ24.В.00750/23</v>
      </c>
      <c r="L85" s="46"/>
      <c r="M85" s="45"/>
      <c r="N85" s="47" t="s">
        <v>46</v>
      </c>
      <c r="O85" s="47" t="s">
        <v>47</v>
      </c>
    </row>
    <row r="86" customFormat="false" ht="18.15" hidden="false" customHeight="true" outlineLevel="0" collapsed="false">
      <c r="B86" s="42"/>
      <c r="C86" s="43" t="str">
        <f aca="false">HYPERLINK("https://www.emi-penza.ru/p/4102.3847-19", "4102.3847-19")</f>
        <v>4102.3847-19</v>
      </c>
      <c r="D86" s="44" t="s">
        <v>64</v>
      </c>
      <c r="E86" s="44"/>
      <c r="F86" s="44"/>
      <c r="G86" s="44"/>
      <c r="H86" s="44"/>
      <c r="I86" s="45"/>
      <c r="J86" s="45" t="s">
        <v>45</v>
      </c>
      <c r="K86" s="45" t="str">
        <f aca="false">HYPERLINK("https://pub.fsa.gov.ru/rss/certificate/view/3237507/baseInfo", "ЕАЭС RU С-RU.АИ24.В.00750/23")</f>
        <v>ЕАЭС RU С-RU.АИ24.В.00750/23</v>
      </c>
      <c r="L86" s="46"/>
      <c r="M86" s="45"/>
      <c r="N86" s="47" t="s">
        <v>46</v>
      </c>
      <c r="O86" s="47" t="s">
        <v>47</v>
      </c>
    </row>
    <row r="87" customFormat="false" ht="18.15" hidden="false" customHeight="true" outlineLevel="0" collapsed="false">
      <c r="B87" s="42" t="s">
        <v>7</v>
      </c>
      <c r="C87" s="43" t="str">
        <f aca="false">HYPERLINK("https://www.emi-penza.ru/p/4102.3847-22", "4102.3847-22")</f>
        <v>4102.3847-22</v>
      </c>
      <c r="D87" s="44"/>
      <c r="E87" s="44"/>
      <c r="F87" s="44"/>
      <c r="G87" s="44"/>
      <c r="H87" s="44"/>
      <c r="I87" s="45"/>
      <c r="J87" s="45" t="s">
        <v>45</v>
      </c>
      <c r="K87" s="45" t="str">
        <f aca="false">HYPERLINK("https://pub.fsa.gov.ru/rss/certificate/view/3237507/baseInfo", "ЕАЭС RU С-RU.АИ24.В.00750/23")</f>
        <v>ЕАЭС RU С-RU.АИ24.В.00750/23</v>
      </c>
      <c r="L87" s="46"/>
      <c r="M87" s="45"/>
      <c r="N87" s="47" t="s">
        <v>46</v>
      </c>
      <c r="O87" s="47" t="s">
        <v>47</v>
      </c>
    </row>
    <row r="88" customFormat="false" ht="18.15" hidden="false" customHeight="true" outlineLevel="0" collapsed="false">
      <c r="B88" s="75" t="s">
        <v>7</v>
      </c>
      <c r="C88" s="76" t="str">
        <f aca="false">HYPERLINK("https://www.emi-penza.ru/p/4102.3847-23", "4102.3847-23")</f>
        <v>4102.3847-23</v>
      </c>
      <c r="D88" s="77" t="s">
        <v>65</v>
      </c>
      <c r="E88" s="77"/>
      <c r="F88" s="77"/>
      <c r="G88" s="77"/>
      <c r="H88" s="77"/>
      <c r="I88" s="78"/>
      <c r="J88" s="78" t="s">
        <v>45</v>
      </c>
      <c r="K88" s="78" t="str">
        <f aca="false">HYPERLINK("https://pub.fsa.gov.ru/rss/certificate/view/3237507/baseInfo", "ЕАЭС RU С-RU.АИ24.В.00750/23")</f>
        <v>ЕАЭС RU С-RU.АИ24.В.00750/23</v>
      </c>
      <c r="L88" s="77"/>
      <c r="M88" s="78"/>
      <c r="N88" s="79" t="s">
        <v>46</v>
      </c>
      <c r="O88" s="79" t="s">
        <v>47</v>
      </c>
    </row>
    <row r="89" customFormat="false" ht="9.95" hidden="false" customHeight="true" outlineLevel="0" collapsed="false">
      <c r="B89" s="74"/>
      <c r="I89" s="4"/>
      <c r="N89" s="3"/>
      <c r="O89" s="3"/>
    </row>
    <row r="90" customFormat="false" ht="22.7" hidden="false" customHeight="true" outlineLevel="0" collapsed="false">
      <c r="B90" s="3"/>
      <c r="C90" s="35" t="s">
        <v>66</v>
      </c>
      <c r="D90" s="36"/>
      <c r="E90" s="36"/>
      <c r="F90" s="36"/>
      <c r="G90" s="36"/>
      <c r="H90" s="36"/>
      <c r="I90" s="37"/>
      <c r="J90" s="37"/>
      <c r="K90" s="37"/>
      <c r="L90" s="38"/>
      <c r="M90" s="37"/>
      <c r="N90" s="80"/>
      <c r="O90" s="80"/>
    </row>
    <row r="91" customFormat="false" ht="2.85" hidden="false" customHeight="true" outlineLevel="0" collapsed="false">
      <c r="B91" s="3"/>
      <c r="I91" s="4"/>
      <c r="N91" s="3"/>
      <c r="O91" s="3"/>
    </row>
    <row r="92" customFormat="false" ht="13.3" hidden="false" customHeight="true" outlineLevel="0" collapsed="false">
      <c r="B92" s="40" t="s">
        <v>7</v>
      </c>
      <c r="C92" s="41" t="s">
        <v>8</v>
      </c>
      <c r="I92" s="4"/>
      <c r="N92" s="3"/>
      <c r="O92" s="3"/>
    </row>
    <row r="93" customFormat="false" ht="18.15" hidden="false" customHeight="true" outlineLevel="0" collapsed="false">
      <c r="B93" s="42"/>
      <c r="C93" s="43" t="str">
        <f aca="false">HYPERLINK("https://www.emi-penza.ru/p/19.3720", "19.3720")</f>
        <v>19.3720</v>
      </c>
      <c r="D93" s="44" t="s">
        <v>67</v>
      </c>
      <c r="E93" s="44"/>
      <c r="F93" s="44"/>
      <c r="G93" s="44"/>
      <c r="H93" s="44"/>
      <c r="I93" s="45"/>
      <c r="J93" s="45" t="s">
        <v>68</v>
      </c>
      <c r="K93" s="45" t="str">
        <f aca="false">HYPERLINK("https://pub.fsa.gov.ru/rds/declaration/view/18758351/common", "ЕАЭС N RU Д-RU.РА03.В.05938/24")</f>
        <v>ЕАЭС N RU Д-RU.РА03.В.05938/24</v>
      </c>
      <c r="L93" s="46"/>
      <c r="M93" s="45"/>
      <c r="N93" s="47" t="s">
        <v>69</v>
      </c>
      <c r="O93" s="47" t="s">
        <v>70</v>
      </c>
    </row>
    <row r="94" customFormat="false" ht="18.15" hidden="false" customHeight="true" outlineLevel="0" collapsed="false">
      <c r="B94" s="42"/>
      <c r="C94" s="43" t="str">
        <f aca="false">HYPERLINK("https://www.emi-penza.ru/p/20.3720", "20.3720")</f>
        <v>20.3720</v>
      </c>
      <c r="D94" s="44" t="s">
        <v>71</v>
      </c>
      <c r="E94" s="44"/>
      <c r="F94" s="44"/>
      <c r="G94" s="44"/>
      <c r="H94" s="44"/>
      <c r="I94" s="45"/>
      <c r="J94" s="45" t="s">
        <v>68</v>
      </c>
      <c r="K94" s="45" t="str">
        <f aca="false">HYPERLINK("https://pub.fsa.gov.ru/rds/declaration/view/18758351/common", "ЕАЭС N RU Д-RU.РА03.В.05938/24")</f>
        <v>ЕАЭС N RU Д-RU.РА03.В.05938/24</v>
      </c>
      <c r="L94" s="46"/>
      <c r="M94" s="45"/>
      <c r="N94" s="47" t="s">
        <v>69</v>
      </c>
      <c r="O94" s="47" t="s">
        <v>70</v>
      </c>
    </row>
    <row r="95" customFormat="false" ht="18.15" hidden="false" customHeight="true" outlineLevel="0" collapsed="false">
      <c r="B95" s="42"/>
      <c r="C95" s="43" t="str">
        <f aca="false">HYPERLINK("https://www.emi-penza.ru/p/20.3720-01", "20.3720-01")</f>
        <v>20.3720-01</v>
      </c>
      <c r="D95" s="44"/>
      <c r="E95" s="44"/>
      <c r="F95" s="44"/>
      <c r="G95" s="44"/>
      <c r="H95" s="44"/>
      <c r="I95" s="45"/>
      <c r="J95" s="45" t="s">
        <v>68</v>
      </c>
      <c r="K95" s="45" t="str">
        <f aca="false">HYPERLINK("https://pub.fsa.gov.ru/rds/declaration/view/18758351/common", "ЕАЭС N RU Д-RU.РА03.В.05938/24")</f>
        <v>ЕАЭС N RU Д-RU.РА03.В.05938/24</v>
      </c>
      <c r="L95" s="46"/>
      <c r="M95" s="45"/>
      <c r="N95" s="47" t="s">
        <v>69</v>
      </c>
      <c r="O95" s="47" t="s">
        <v>70</v>
      </c>
    </row>
    <row r="96" customFormat="false" ht="18.15" hidden="false" customHeight="true" outlineLevel="0" collapsed="false">
      <c r="B96" s="42" t="s">
        <v>7</v>
      </c>
      <c r="C96" s="43" t="str">
        <f aca="false">HYPERLINK("https://www.emi-penza.ru/p/20.3720-02", "20.3720-02")</f>
        <v>20.3720-02</v>
      </c>
      <c r="D96" s="44"/>
      <c r="E96" s="44"/>
      <c r="F96" s="44"/>
      <c r="G96" s="44"/>
      <c r="H96" s="44"/>
      <c r="I96" s="45"/>
      <c r="J96" s="45" t="s">
        <v>68</v>
      </c>
      <c r="K96" s="45" t="str">
        <f aca="false">HYPERLINK("https://pub.fsa.gov.ru/rds/declaration/view/18758351/common", "ЕАЭС N RU Д-RU.РА03.В.05938/24")</f>
        <v>ЕАЭС N RU Д-RU.РА03.В.05938/24</v>
      </c>
      <c r="L96" s="46"/>
      <c r="M96" s="45"/>
      <c r="N96" s="47" t="s">
        <v>69</v>
      </c>
      <c r="O96" s="47" t="s">
        <v>70</v>
      </c>
    </row>
    <row r="97" customFormat="false" ht="18.15" hidden="false" customHeight="true" outlineLevel="0" collapsed="false">
      <c r="B97" s="42" t="s">
        <v>7</v>
      </c>
      <c r="C97" s="43" t="str">
        <f aca="false">HYPERLINK("https://www.emi-penza.ru/p/20.3720-03", "20.3720-03")</f>
        <v>20.3720-03</v>
      </c>
      <c r="D97" s="44"/>
      <c r="E97" s="44"/>
      <c r="F97" s="44"/>
      <c r="G97" s="44"/>
      <c r="H97" s="44"/>
      <c r="I97" s="45"/>
      <c r="J97" s="45" t="s">
        <v>68</v>
      </c>
      <c r="K97" s="45" t="str">
        <f aca="false">HYPERLINK("https://pub.fsa.gov.ru/rds/declaration/view/18758351/common", "ЕАЭС N RU Д-RU.РА03.В.05938/24")</f>
        <v>ЕАЭС N RU Д-RU.РА03.В.05938/24</v>
      </c>
      <c r="L97" s="46"/>
      <c r="M97" s="45"/>
      <c r="N97" s="47" t="s">
        <v>69</v>
      </c>
      <c r="O97" s="47" t="s">
        <v>70</v>
      </c>
    </row>
    <row r="98" customFormat="false" ht="18.15" hidden="false" customHeight="true" outlineLevel="0" collapsed="false">
      <c r="B98" s="42"/>
      <c r="C98" s="43" t="str">
        <f aca="false">HYPERLINK("https://www.emi-penza.ru/p/25.3720", "25.3720")</f>
        <v>25.3720</v>
      </c>
      <c r="D98" s="44" t="s">
        <v>72</v>
      </c>
      <c r="E98" s="44"/>
      <c r="F98" s="44"/>
      <c r="G98" s="44"/>
      <c r="H98" s="44"/>
      <c r="I98" s="45"/>
      <c r="J98" s="45" t="s">
        <v>68</v>
      </c>
      <c r="K98" s="45" t="str">
        <f aca="false">HYPERLINK("https://pub.fsa.gov.ru/rds/declaration/view/18758351/common", "ЕАЭС N RU Д-RU.РА03.В.05938/24")</f>
        <v>ЕАЭС N RU Д-RU.РА03.В.05938/24</v>
      </c>
      <c r="L98" s="46"/>
      <c r="M98" s="45"/>
      <c r="N98" s="47" t="s">
        <v>69</v>
      </c>
      <c r="O98" s="47" t="s">
        <v>70</v>
      </c>
    </row>
    <row r="99" customFormat="false" ht="18.15" hidden="false" customHeight="true" outlineLevel="0" collapsed="false">
      <c r="B99" s="42"/>
      <c r="C99" s="43" t="str">
        <f aca="false">HYPERLINK("https://www.emi-penza.ru/p/25.3720-01", "25.3720-01")</f>
        <v>25.3720-01</v>
      </c>
      <c r="D99" s="44" t="s">
        <v>73</v>
      </c>
      <c r="E99" s="44"/>
      <c r="F99" s="44"/>
      <c r="G99" s="44"/>
      <c r="H99" s="44"/>
      <c r="I99" s="45"/>
      <c r="J99" s="45" t="s">
        <v>68</v>
      </c>
      <c r="K99" s="45" t="str">
        <f aca="false">HYPERLINK("https://pub.fsa.gov.ru/rds/declaration/view/18758351/common", "ЕАЭС N RU Д-RU.РА03.В.05938/24")</f>
        <v>ЕАЭС N RU Д-RU.РА03.В.05938/24</v>
      </c>
      <c r="L99" s="46"/>
      <c r="M99" s="45"/>
      <c r="N99" s="47" t="s">
        <v>69</v>
      </c>
      <c r="O99" s="47" t="s">
        <v>70</v>
      </c>
    </row>
    <row r="100" customFormat="false" ht="18.15" hidden="false" customHeight="true" outlineLevel="0" collapsed="false">
      <c r="B100" s="42"/>
      <c r="C100" s="43" t="str">
        <f aca="false">HYPERLINK("https://www.emi-penza.ru/p/25.3720-02", "25.3720-02")</f>
        <v>25.3720-02</v>
      </c>
      <c r="D100" s="44" t="s">
        <v>74</v>
      </c>
      <c r="E100" s="44"/>
      <c r="F100" s="44"/>
      <c r="G100" s="44"/>
      <c r="H100" s="44"/>
      <c r="I100" s="45"/>
      <c r="J100" s="45" t="s">
        <v>68</v>
      </c>
      <c r="K100" s="45" t="str">
        <f aca="false">HYPERLINK("https://pub.fsa.gov.ru/rds/declaration/view/18758351/common", "ЕАЭС N RU Д-RU.РА03.В.05938/24")</f>
        <v>ЕАЭС N RU Д-RU.РА03.В.05938/24</v>
      </c>
      <c r="L100" s="46"/>
      <c r="M100" s="45"/>
      <c r="N100" s="47" t="s">
        <v>69</v>
      </c>
      <c r="O100" s="47" t="s">
        <v>70</v>
      </c>
    </row>
    <row r="101" customFormat="false" ht="18.15" hidden="false" customHeight="true" outlineLevel="0" collapsed="false">
      <c r="B101" s="42"/>
      <c r="C101" s="43" t="str">
        <f aca="false">HYPERLINK("https://www.emi-penza.ru/p/1302.3768_M", "1302.3768 М")</f>
        <v>1302.3768 М</v>
      </c>
      <c r="D101" s="44" t="s">
        <v>75</v>
      </c>
      <c r="E101" s="44"/>
      <c r="F101" s="44"/>
      <c r="G101" s="44"/>
      <c r="H101" s="44"/>
      <c r="I101" s="45"/>
      <c r="J101" s="45" t="s">
        <v>68</v>
      </c>
      <c r="K101" s="45" t="str">
        <f aca="false">HYPERLINK("https://pub.fsa.gov.ru/rds/declaration/view/18758351/common", "ЕАЭС N RU Д-RU.РА03.В.05938/24")</f>
        <v>ЕАЭС N RU Д-RU.РА03.В.05938/24</v>
      </c>
      <c r="L101" s="46"/>
      <c r="M101" s="45"/>
      <c r="N101" s="47" t="s">
        <v>69</v>
      </c>
      <c r="O101" s="47" t="s">
        <v>70</v>
      </c>
    </row>
    <row r="102" customFormat="false" ht="18.15" hidden="false" customHeight="true" outlineLevel="0" collapsed="false">
      <c r="B102" s="42"/>
      <c r="C102" s="43" t="str">
        <f aca="false">HYPERLINK("https://www.emi-penza.ru/p/1312.3768-01", "1312.3768-01")</f>
        <v>1312.3768-01</v>
      </c>
      <c r="D102" s="44" t="s">
        <v>76</v>
      </c>
      <c r="E102" s="44"/>
      <c r="F102" s="44"/>
      <c r="G102" s="44"/>
      <c r="H102" s="44"/>
      <c r="I102" s="45"/>
      <c r="J102" s="45" t="s">
        <v>68</v>
      </c>
      <c r="K102" s="45" t="str">
        <f aca="false">HYPERLINK("https://pub.fsa.gov.ru/rds/declaration/view/18758351/common", "ЕАЭС N RU Д-RU.РА03.В.05938/24")</f>
        <v>ЕАЭС N RU Д-RU.РА03.В.05938/24</v>
      </c>
      <c r="L102" s="46"/>
      <c r="M102" s="45"/>
      <c r="N102" s="47" t="s">
        <v>69</v>
      </c>
      <c r="O102" s="47" t="s">
        <v>70</v>
      </c>
    </row>
    <row r="103" customFormat="false" ht="18.15" hidden="false" customHeight="true" outlineLevel="0" collapsed="false">
      <c r="B103" s="42"/>
      <c r="C103" s="43" t="str">
        <f aca="false">HYPERLINK("https://www.emi-penza.ru/p/1312.3768-01_var-02", "1312.3768-01 исп-02")</f>
        <v>1312.3768-01 исп-02</v>
      </c>
      <c r="D103" s="44"/>
      <c r="E103" s="44"/>
      <c r="F103" s="44" t="s">
        <v>77</v>
      </c>
      <c r="G103" s="44"/>
      <c r="H103" s="44"/>
      <c r="I103" s="45"/>
      <c r="J103" s="45"/>
      <c r="K103" s="45"/>
      <c r="L103" s="46"/>
      <c r="M103" s="45"/>
      <c r="N103" s="47"/>
      <c r="O103" s="47"/>
    </row>
    <row r="104" customFormat="false" ht="18.15" hidden="false" customHeight="true" outlineLevel="0" collapsed="false">
      <c r="B104" s="42"/>
      <c r="C104" s="43" t="str">
        <f aca="false">HYPERLINK("https://www.emi-penza.ru/p/1322.3768-01", "1322.3768-01")</f>
        <v>1322.3768-01</v>
      </c>
      <c r="D104" s="44" t="s">
        <v>78</v>
      </c>
      <c r="E104" s="44"/>
      <c r="F104" s="44"/>
      <c r="G104" s="44"/>
      <c r="H104" s="44"/>
      <c r="I104" s="45"/>
      <c r="J104" s="45" t="s">
        <v>68</v>
      </c>
      <c r="K104" s="45" t="str">
        <f aca="false">HYPERLINK("https://pub.fsa.gov.ru/rds/declaration/view/18758351/common", "ЕАЭС N RU Д-RU.РА03.В.05938/24")</f>
        <v>ЕАЭС N RU Д-RU.РА03.В.05938/24</v>
      </c>
      <c r="L104" s="46"/>
      <c r="M104" s="45"/>
      <c r="N104" s="47" t="s">
        <v>69</v>
      </c>
      <c r="O104" s="47" t="s">
        <v>70</v>
      </c>
    </row>
    <row r="105" customFormat="false" ht="18.15" hidden="false" customHeight="true" outlineLevel="0" collapsed="false">
      <c r="B105" s="42"/>
      <c r="C105" s="43" t="str">
        <f aca="false">HYPERLINK("https://www.emi-penza.ru/p/1332.3768", "1332.3768")</f>
        <v>1332.3768</v>
      </c>
      <c r="D105" s="44" t="s">
        <v>79</v>
      </c>
      <c r="E105" s="44"/>
      <c r="F105" s="44"/>
      <c r="G105" s="44"/>
      <c r="H105" s="44"/>
      <c r="I105" s="45"/>
      <c r="J105" s="45" t="s">
        <v>68</v>
      </c>
      <c r="K105" s="45" t="str">
        <f aca="false">HYPERLINK("https://pub.fsa.gov.ru/rds/declaration/view/18758351/common", "ЕАЭС N RU Д-RU.РА03.В.05938/24")</f>
        <v>ЕАЭС N RU Д-RU.РА03.В.05938/24</v>
      </c>
      <c r="L105" s="46"/>
      <c r="M105" s="45"/>
      <c r="N105" s="47" t="s">
        <v>69</v>
      </c>
      <c r="O105" s="47" t="s">
        <v>70</v>
      </c>
    </row>
    <row r="106" customFormat="false" ht="18.15" hidden="false" customHeight="true" outlineLevel="0" collapsed="false">
      <c r="B106" s="42"/>
      <c r="C106" s="43" t="str">
        <f aca="false">HYPERLINK("https://www.emi-penza.ru/p/1332.3768-01", "1332.3768-01")</f>
        <v>1332.3768-01</v>
      </c>
      <c r="D106" s="44" t="s">
        <v>80</v>
      </c>
      <c r="E106" s="44"/>
      <c r="F106" s="44"/>
      <c r="G106" s="44"/>
      <c r="H106" s="44"/>
      <c r="I106" s="45"/>
      <c r="J106" s="45" t="s">
        <v>68</v>
      </c>
      <c r="K106" s="45" t="str">
        <f aca="false">HYPERLINK("https://pub.fsa.gov.ru/rds/declaration/view/18758351/common", "ЕАЭС N RU Д-RU.РА03.В.05938/24")</f>
        <v>ЕАЭС N RU Д-RU.РА03.В.05938/24</v>
      </c>
      <c r="L106" s="46"/>
      <c r="M106" s="45"/>
      <c r="N106" s="47" t="s">
        <v>69</v>
      </c>
      <c r="O106" s="47" t="s">
        <v>70</v>
      </c>
    </row>
    <row r="107" customFormat="false" ht="18.15" hidden="false" customHeight="true" outlineLevel="0" collapsed="false">
      <c r="B107" s="42"/>
      <c r="C107" s="43" t="str">
        <f aca="false">HYPERLINK("https://www.emi-penza.ru/p/1332.3768-02", "1332.3768-02")</f>
        <v>1332.3768-02</v>
      </c>
      <c r="D107" s="44"/>
      <c r="E107" s="44"/>
      <c r="F107" s="44"/>
      <c r="G107" s="44"/>
      <c r="H107" s="44"/>
      <c r="I107" s="45"/>
      <c r="J107" s="45" t="s">
        <v>68</v>
      </c>
      <c r="K107" s="45" t="str">
        <f aca="false">HYPERLINK("https://pub.fsa.gov.ru/rds/declaration/view/18758351/common", "ЕАЭС N RU Д-RU.РА03.В.05938/24")</f>
        <v>ЕАЭС N RU Д-RU.РА03.В.05938/24</v>
      </c>
      <c r="L107" s="46"/>
      <c r="M107" s="45"/>
      <c r="N107" s="47" t="s">
        <v>69</v>
      </c>
      <c r="O107" s="47" t="s">
        <v>70</v>
      </c>
    </row>
    <row r="108" customFormat="false" ht="18.15" hidden="false" customHeight="true" outlineLevel="0" collapsed="false">
      <c r="B108" s="42"/>
      <c r="C108" s="43" t="str">
        <f aca="false">HYPERLINK("https://www.emi-penza.ru/p/1342.3768", "1342.3768")</f>
        <v>1342.3768</v>
      </c>
      <c r="D108" s="44" t="s">
        <v>81</v>
      </c>
      <c r="E108" s="44"/>
      <c r="F108" s="44"/>
      <c r="G108" s="44"/>
      <c r="H108" s="44"/>
      <c r="I108" s="45"/>
      <c r="J108" s="45" t="s">
        <v>68</v>
      </c>
      <c r="K108" s="45" t="str">
        <f aca="false">HYPERLINK("https://pub.fsa.gov.ru/rds/declaration/view/18758351/common", "ЕАЭС N RU Д-RU.РА03.В.05938/24")</f>
        <v>ЕАЭС N RU Д-RU.РА03.В.05938/24</v>
      </c>
      <c r="L108" s="46"/>
      <c r="M108" s="45"/>
      <c r="N108" s="47" t="s">
        <v>69</v>
      </c>
      <c r="O108" s="47" t="s">
        <v>70</v>
      </c>
    </row>
    <row r="109" customFormat="false" ht="18.15" hidden="false" customHeight="true" outlineLevel="0" collapsed="false">
      <c r="B109" s="42"/>
      <c r="C109" s="43" t="str">
        <f aca="false">HYPERLINK("https://www.emi-penza.ru/p/1342.3768-01", "1342.3768-01")</f>
        <v>1342.3768-01</v>
      </c>
      <c r="D109" s="44" t="s">
        <v>82</v>
      </c>
      <c r="E109" s="44"/>
      <c r="F109" s="44"/>
      <c r="G109" s="44"/>
      <c r="H109" s="47"/>
      <c r="I109" s="45"/>
      <c r="J109" s="45" t="s">
        <v>68</v>
      </c>
      <c r="K109" s="45" t="str">
        <f aca="false">HYPERLINK("https://pub.fsa.gov.ru/rds/declaration/view/18758351/common", "ЕАЭС N RU Д-RU.РА03.В.05938/24")</f>
        <v>ЕАЭС N RU Д-RU.РА03.В.05938/24</v>
      </c>
      <c r="L109" s="46"/>
      <c r="M109" s="45"/>
      <c r="N109" s="47" t="s">
        <v>69</v>
      </c>
      <c r="O109" s="47" t="s">
        <v>70</v>
      </c>
      <c r="P109" s="3"/>
    </row>
    <row r="110" customFormat="false" ht="18.15" hidden="false" customHeight="true" outlineLevel="0" collapsed="false">
      <c r="B110" s="42"/>
      <c r="C110" s="43" t="str">
        <f aca="false">HYPERLINK("https://www.emi-penza.ru/p/1342.3768-02", "1342.3768-02")</f>
        <v>1342.3768-02</v>
      </c>
      <c r="D110" s="44" t="s">
        <v>83</v>
      </c>
      <c r="E110" s="44"/>
      <c r="F110" s="44"/>
      <c r="G110" s="44"/>
      <c r="H110" s="47"/>
      <c r="I110" s="45"/>
      <c r="J110" s="45" t="s">
        <v>68</v>
      </c>
      <c r="K110" s="45" t="str">
        <f aca="false">HYPERLINK("https://pub.fsa.gov.ru/rds/declaration/view/18758351/common", "ЕАЭС N RU Д-RU.РА03.В.05938/24")</f>
        <v>ЕАЭС N RU Д-RU.РА03.В.05938/24</v>
      </c>
      <c r="L110" s="46"/>
      <c r="M110" s="45"/>
      <c r="N110" s="47" t="s">
        <v>69</v>
      </c>
      <c r="O110" s="47" t="s">
        <v>70</v>
      </c>
      <c r="P110" s="3"/>
    </row>
    <row r="111" customFormat="false" ht="13.6" hidden="false" customHeight="true" outlineLevel="0" collapsed="false">
      <c r="B111" s="48"/>
      <c r="C111" s="49" t="str">
        <f aca="false">HYPERLINK("https://www.emi-penza.ru/p/1342.3768-06", "1342.3768-06")</f>
        <v>1342.3768-06</v>
      </c>
      <c r="D111" s="50" t="s">
        <v>84</v>
      </c>
      <c r="E111" s="50"/>
      <c r="F111" s="50"/>
      <c r="G111" s="50"/>
      <c r="H111" s="50"/>
      <c r="I111" s="51"/>
      <c r="J111" s="51" t="s">
        <v>68</v>
      </c>
      <c r="K111" s="51" t="str">
        <f aca="false">HYPERLINK("https://pub.fsa.gov.ru/rds/declaration/view/18758351/common", "ЕАЭС N RU Д-RU.РА03.В.05938/24")</f>
        <v>ЕАЭС N RU Д-RU.РА03.В.05938/24</v>
      </c>
      <c r="L111" s="52"/>
      <c r="M111" s="51"/>
      <c r="N111" s="53" t="s">
        <v>69</v>
      </c>
      <c r="O111" s="53" t="s">
        <v>70</v>
      </c>
    </row>
    <row r="112" customFormat="false" ht="15" hidden="false" customHeight="true" outlineLevel="0" collapsed="false">
      <c r="B112" s="54"/>
      <c r="C112" s="55"/>
      <c r="D112" s="57" t="s">
        <v>85</v>
      </c>
      <c r="E112" s="56"/>
      <c r="F112" s="56"/>
      <c r="G112" s="56"/>
      <c r="H112" s="56"/>
      <c r="I112" s="57"/>
      <c r="J112" s="57"/>
      <c r="K112" s="57"/>
      <c r="L112" s="58"/>
      <c r="M112" s="57"/>
      <c r="N112" s="59"/>
      <c r="O112" s="59"/>
    </row>
    <row r="113" customFormat="false" ht="13.6" hidden="false" customHeight="true" outlineLevel="0" collapsed="false">
      <c r="B113" s="48"/>
      <c r="C113" s="49" t="str">
        <f aca="false">HYPERLINK("https://www.emi-penza.ru/p/1342.3768-07", "1342.3768-07")</f>
        <v>1342.3768-07</v>
      </c>
      <c r="D113" s="50" t="s">
        <v>86</v>
      </c>
      <c r="E113" s="50"/>
      <c r="F113" s="50"/>
      <c r="G113" s="50"/>
      <c r="H113" s="50"/>
      <c r="I113" s="51"/>
      <c r="J113" s="51" t="s">
        <v>68</v>
      </c>
      <c r="K113" s="51" t="str">
        <f aca="false">HYPERLINK("https://pub.fsa.gov.ru/rds/declaration/view/18758351/common", "ЕАЭС N RU Д-RU.РА03.В.05938/24")</f>
        <v>ЕАЭС N RU Д-RU.РА03.В.05938/24</v>
      </c>
      <c r="L113" s="52"/>
      <c r="M113" s="51"/>
      <c r="N113" s="53" t="s">
        <v>69</v>
      </c>
      <c r="O113" s="53" t="s">
        <v>70</v>
      </c>
    </row>
    <row r="114" customFormat="false" ht="15" hidden="false" customHeight="true" outlineLevel="0" collapsed="false">
      <c r="B114" s="54"/>
      <c r="C114" s="55"/>
      <c r="D114" s="57" t="s">
        <v>87</v>
      </c>
      <c r="E114" s="56"/>
      <c r="F114" s="56"/>
      <c r="G114" s="56"/>
      <c r="H114" s="56"/>
      <c r="I114" s="57"/>
      <c r="J114" s="57"/>
      <c r="K114" s="57"/>
      <c r="L114" s="58"/>
      <c r="M114" s="57"/>
      <c r="N114" s="59"/>
      <c r="O114" s="59"/>
    </row>
    <row r="115" customFormat="false" ht="13.6" hidden="false" customHeight="true" outlineLevel="0" collapsed="false">
      <c r="B115" s="48"/>
      <c r="C115" s="49" t="str">
        <f aca="false">HYPERLINK("https://www.emi-penza.ru/p/1352.3768", "1352.3768")</f>
        <v>1352.3768</v>
      </c>
      <c r="D115" s="50" t="s">
        <v>88</v>
      </c>
      <c r="E115" s="50"/>
      <c r="F115" s="50"/>
      <c r="G115" s="50"/>
      <c r="H115" s="50"/>
      <c r="I115" s="51"/>
      <c r="J115" s="51" t="s">
        <v>68</v>
      </c>
      <c r="K115" s="51" t="str">
        <f aca="false">HYPERLINK("https://pub.fsa.gov.ru/rds/declaration/view/18758351/common", "ЕАЭС N RU Д-RU.РА03.В.05938/24")</f>
        <v>ЕАЭС N RU Д-RU.РА03.В.05938/24</v>
      </c>
      <c r="L115" s="52"/>
      <c r="M115" s="51"/>
      <c r="N115" s="53" t="s">
        <v>69</v>
      </c>
      <c r="O115" s="53" t="s">
        <v>70</v>
      </c>
    </row>
    <row r="116" customFormat="false" ht="15" hidden="false" customHeight="true" outlineLevel="0" collapsed="false">
      <c r="B116" s="54"/>
      <c r="C116" s="55"/>
      <c r="D116" s="57" t="s">
        <v>89</v>
      </c>
      <c r="E116" s="56"/>
      <c r="F116" s="56"/>
      <c r="G116" s="56"/>
      <c r="H116" s="56"/>
      <c r="I116" s="57"/>
      <c r="J116" s="57"/>
      <c r="K116" s="57"/>
      <c r="L116" s="58"/>
      <c r="M116" s="57"/>
      <c r="N116" s="59"/>
      <c r="O116" s="59"/>
    </row>
    <row r="117" customFormat="false" ht="13.6" hidden="false" customHeight="true" outlineLevel="0" collapsed="false">
      <c r="B117" s="48"/>
      <c r="C117" s="49" t="str">
        <f aca="false">HYPERLINK("https://www.emi-penza.ru/p/1352.3768-01", "1352.3768-01")</f>
        <v>1352.3768-01</v>
      </c>
      <c r="D117" s="50" t="s">
        <v>90</v>
      </c>
      <c r="E117" s="50"/>
      <c r="F117" s="50"/>
      <c r="G117" s="50"/>
      <c r="H117" s="50"/>
      <c r="I117" s="51"/>
      <c r="J117" s="51" t="s">
        <v>68</v>
      </c>
      <c r="K117" s="51" t="str">
        <f aca="false">HYPERLINK("https://pub.fsa.gov.ru/rds/declaration/view/18758351/common", "ЕАЭС N RU Д-RU.РА03.В.05938/24")</f>
        <v>ЕАЭС N RU Д-RU.РА03.В.05938/24</v>
      </c>
      <c r="L117" s="52"/>
      <c r="M117" s="51"/>
      <c r="N117" s="53" t="s">
        <v>69</v>
      </c>
      <c r="O117" s="53" t="s">
        <v>70</v>
      </c>
    </row>
    <row r="118" customFormat="false" ht="15" hidden="false" customHeight="true" outlineLevel="0" collapsed="false">
      <c r="B118" s="54"/>
      <c r="C118" s="55"/>
      <c r="D118" s="56"/>
      <c r="E118" s="56"/>
      <c r="F118" s="56"/>
      <c r="G118" s="56"/>
      <c r="H118" s="56"/>
      <c r="I118" s="57"/>
      <c r="J118" s="57"/>
      <c r="K118" s="57"/>
      <c r="L118" s="58"/>
      <c r="M118" s="57"/>
      <c r="N118" s="59"/>
      <c r="O118" s="59"/>
    </row>
    <row r="119" customFormat="false" ht="18.15" hidden="false" customHeight="true" outlineLevel="0" collapsed="false">
      <c r="B119" s="42"/>
      <c r="C119" s="43" t="str">
        <f aca="false">HYPERLINK("https://www.emi-penza.ru/p/1352.3768-01_SO_M18", "1352.3768-01 СЗ М18")</f>
        <v>1352.3768-01 СЗ М18</v>
      </c>
      <c r="D119" s="44"/>
      <c r="E119" s="44"/>
      <c r="F119" s="44" t="s">
        <v>91</v>
      </c>
      <c r="G119" s="44"/>
      <c r="H119" s="47"/>
      <c r="I119" s="45"/>
      <c r="J119" s="45" t="s">
        <v>68</v>
      </c>
      <c r="K119" s="45" t="str">
        <f aca="false">HYPERLINK("https://pub.fsa.gov.ru/rds/declaration/view/18758351/common", "ЕАЭС N RU Д-RU.РА03.В.05938/24")</f>
        <v>ЕАЭС N RU Д-RU.РА03.В.05938/24</v>
      </c>
      <c r="L119" s="46"/>
      <c r="M119" s="45"/>
      <c r="N119" s="47" t="s">
        <v>69</v>
      </c>
      <c r="O119" s="47" t="s">
        <v>70</v>
      </c>
      <c r="P119" s="3"/>
    </row>
    <row r="120" customFormat="false" ht="13.6" hidden="false" customHeight="true" outlineLevel="0" collapsed="false">
      <c r="B120" s="48"/>
      <c r="C120" s="49" t="str">
        <f aca="false">HYPERLINK("https://www.emi-penza.ru/p/1352.3768-02", "1352.3768-02")</f>
        <v>1352.3768-02</v>
      </c>
      <c r="D120" s="50" t="s">
        <v>92</v>
      </c>
      <c r="E120" s="50"/>
      <c r="F120" s="50"/>
      <c r="G120" s="50"/>
      <c r="H120" s="62" t="s">
        <v>93</v>
      </c>
      <c r="I120" s="51"/>
      <c r="J120" s="51" t="s">
        <v>68</v>
      </c>
      <c r="K120" s="51" t="str">
        <f aca="false">HYPERLINK("https://pub.fsa.gov.ru/rds/declaration/view/18758351/common", "ЕАЭС N RU Д-RU.РА03.В.05938/24")</f>
        <v>ЕАЭС N RU Д-RU.РА03.В.05938/24</v>
      </c>
      <c r="L120" s="52"/>
      <c r="M120" s="51"/>
      <c r="N120" s="53" t="s">
        <v>69</v>
      </c>
      <c r="O120" s="53" t="s">
        <v>70</v>
      </c>
    </row>
    <row r="121" customFormat="false" ht="15" hidden="false" customHeight="true" outlineLevel="0" collapsed="false">
      <c r="B121" s="54"/>
      <c r="C121" s="55"/>
      <c r="D121" s="56"/>
      <c r="E121" s="56"/>
      <c r="F121" s="56"/>
      <c r="G121" s="56"/>
      <c r="H121" s="61" t="s">
        <v>94</v>
      </c>
      <c r="I121" s="57"/>
      <c r="J121" s="57"/>
      <c r="K121" s="57"/>
      <c r="L121" s="58"/>
      <c r="M121" s="57"/>
      <c r="N121" s="59"/>
      <c r="O121" s="59"/>
    </row>
    <row r="122" customFormat="false" ht="18.15" hidden="false" customHeight="true" outlineLevel="0" collapsed="false">
      <c r="B122" s="42"/>
      <c r="C122" s="43" t="str">
        <f aca="false">HYPERLINK("https://www.emi-penza.ru/p/1352.3768-03", "1352.3768-03")</f>
        <v>1352.3768-03</v>
      </c>
      <c r="D122" s="44" t="s">
        <v>95</v>
      </c>
      <c r="E122" s="44"/>
      <c r="F122" s="44"/>
      <c r="G122" s="44"/>
      <c r="H122" s="44"/>
      <c r="I122" s="45"/>
      <c r="J122" s="45" t="s">
        <v>68</v>
      </c>
      <c r="K122" s="45" t="str">
        <f aca="false">HYPERLINK("https://pub.fsa.gov.ru/rds/declaration/view/18758351/common", "ЕАЭС N RU Д-RU.РА03.В.05938/24")</f>
        <v>ЕАЭС N RU Д-RU.РА03.В.05938/24</v>
      </c>
      <c r="L122" s="46"/>
      <c r="M122" s="45"/>
      <c r="N122" s="47" t="s">
        <v>69</v>
      </c>
      <c r="O122" s="47" t="s">
        <v>70</v>
      </c>
    </row>
    <row r="123" customFormat="false" ht="18.15" hidden="false" customHeight="true" outlineLevel="0" collapsed="false">
      <c r="B123" s="42"/>
      <c r="C123" s="43" t="str">
        <f aca="false">HYPERLINK("https://www.emi-penza.ru/p/1352.3768-04_SO_M18", "1352.3768-04 СЗ М18")</f>
        <v>1352.3768-04 СЗ М18</v>
      </c>
      <c r="D123" s="44"/>
      <c r="E123" s="44"/>
      <c r="F123" s="44" t="s">
        <v>96</v>
      </c>
      <c r="G123" s="44"/>
      <c r="H123" s="47"/>
      <c r="I123" s="45"/>
      <c r="J123" s="45" t="s">
        <v>68</v>
      </c>
      <c r="K123" s="45" t="str">
        <f aca="false">HYPERLINK("https://pub.fsa.gov.ru/rds/declaration/view/18758351/common", "ЕАЭС N RU Д-RU.РА03.В.05938/24")</f>
        <v>ЕАЭС N RU Д-RU.РА03.В.05938/24</v>
      </c>
      <c r="L123" s="46"/>
      <c r="M123" s="45"/>
      <c r="N123" s="47" t="s">
        <v>69</v>
      </c>
      <c r="O123" s="47" t="s">
        <v>70</v>
      </c>
      <c r="P123" s="3"/>
    </row>
    <row r="124" customFormat="false" ht="13.6" hidden="false" customHeight="true" outlineLevel="0" collapsed="false">
      <c r="B124" s="48"/>
      <c r="C124" s="49" t="str">
        <f aca="false">HYPERLINK("https://www.emi-penza.ru/p/1352.3768-05", "1352.3768-05")</f>
        <v>1352.3768-05</v>
      </c>
      <c r="D124" s="50" t="s">
        <v>97</v>
      </c>
      <c r="E124" s="50"/>
      <c r="F124" s="50"/>
      <c r="G124" s="50"/>
      <c r="H124" s="62"/>
      <c r="I124" s="51"/>
      <c r="J124" s="51" t="s">
        <v>68</v>
      </c>
      <c r="K124" s="51" t="str">
        <f aca="false">HYPERLINK("https://pub.fsa.gov.ru/rds/declaration/view/18758351/common", "ЕАЭС N RU Д-RU.РА03.В.05938/24")</f>
        <v>ЕАЭС N RU Д-RU.РА03.В.05938/24</v>
      </c>
      <c r="L124" s="52"/>
      <c r="M124" s="51"/>
      <c r="N124" s="53" t="s">
        <v>69</v>
      </c>
      <c r="O124" s="53" t="s">
        <v>70</v>
      </c>
    </row>
    <row r="125" customFormat="false" ht="15" hidden="false" customHeight="true" outlineLevel="0" collapsed="false">
      <c r="B125" s="54"/>
      <c r="C125" s="55"/>
      <c r="D125" s="56" t="s">
        <v>98</v>
      </c>
      <c r="E125" s="56"/>
      <c r="F125" s="56"/>
      <c r="G125" s="56"/>
      <c r="H125" s="61"/>
      <c r="I125" s="57"/>
      <c r="J125" s="57"/>
      <c r="K125" s="57"/>
      <c r="L125" s="58"/>
      <c r="M125" s="57"/>
      <c r="N125" s="59"/>
      <c r="O125" s="59"/>
    </row>
    <row r="126" customFormat="false" ht="18.15" hidden="false" customHeight="true" outlineLevel="0" collapsed="false">
      <c r="B126" s="42"/>
      <c r="C126" s="43" t="str">
        <f aca="false">HYPERLINK("https://www.emi-penza.ru/p/1352.3768-06", "1352.3768-06")</f>
        <v>1352.3768-06</v>
      </c>
      <c r="D126" s="44"/>
      <c r="E126" s="44"/>
      <c r="F126" s="44"/>
      <c r="G126" s="44"/>
      <c r="H126" s="44"/>
      <c r="I126" s="45"/>
      <c r="J126" s="45" t="s">
        <v>68</v>
      </c>
      <c r="K126" s="45" t="str">
        <f aca="false">HYPERLINK("https://pub.fsa.gov.ru/rds/declaration/view/18758351/common", "ЕАЭС N RU Д-RU.РА03.В.05938/24")</f>
        <v>ЕАЭС N RU Д-RU.РА03.В.05938/24</v>
      </c>
      <c r="L126" s="46"/>
      <c r="M126" s="45"/>
      <c r="N126" s="47" t="s">
        <v>69</v>
      </c>
      <c r="O126" s="47" t="s">
        <v>70</v>
      </c>
    </row>
    <row r="127" customFormat="false" ht="13.6" hidden="false" customHeight="true" outlineLevel="0" collapsed="false">
      <c r="B127" s="48"/>
      <c r="C127" s="49" t="str">
        <f aca="false">HYPERLINK("https://www.emi-penza.ru/p/1352.3768-07", "1352.3768-07")</f>
        <v>1352.3768-07</v>
      </c>
      <c r="D127" s="50" t="s">
        <v>99</v>
      </c>
      <c r="E127" s="50"/>
      <c r="F127" s="50"/>
      <c r="G127" s="50"/>
      <c r="H127" s="62" t="s">
        <v>93</v>
      </c>
      <c r="I127" s="51"/>
      <c r="J127" s="51" t="s">
        <v>68</v>
      </c>
      <c r="K127" s="51" t="str">
        <f aca="false">HYPERLINK("https://pub.fsa.gov.ru/rds/declaration/view/18758351/common", "ЕАЭС N RU Д-RU.РА03.В.05938/24")</f>
        <v>ЕАЭС N RU Д-RU.РА03.В.05938/24</v>
      </c>
      <c r="L127" s="52"/>
      <c r="M127" s="51"/>
      <c r="N127" s="53" t="s">
        <v>69</v>
      </c>
      <c r="O127" s="53" t="s">
        <v>70</v>
      </c>
    </row>
    <row r="128" customFormat="false" ht="15" hidden="false" customHeight="true" outlineLevel="0" collapsed="false">
      <c r="B128" s="54"/>
      <c r="C128" s="55"/>
      <c r="D128" s="56"/>
      <c r="E128" s="56"/>
      <c r="F128" s="56"/>
      <c r="G128" s="56"/>
      <c r="H128" s="61" t="s">
        <v>94</v>
      </c>
      <c r="I128" s="57"/>
      <c r="J128" s="57"/>
      <c r="K128" s="57"/>
      <c r="L128" s="58"/>
      <c r="M128" s="57"/>
      <c r="N128" s="59"/>
      <c r="O128" s="59"/>
    </row>
    <row r="129" customFormat="false" ht="18.15" hidden="false" customHeight="true" outlineLevel="0" collapsed="false">
      <c r="B129" s="42"/>
      <c r="C129" s="43" t="str">
        <f aca="false">HYPERLINK("https://www.emi-penza.ru/p/1352.3768-08", "1352.3768-08")</f>
        <v>1352.3768-08</v>
      </c>
      <c r="D129" s="44"/>
      <c r="E129" s="44"/>
      <c r="F129" s="44"/>
      <c r="G129" s="44"/>
      <c r="H129" s="44"/>
      <c r="I129" s="45"/>
      <c r="J129" s="45" t="s">
        <v>68</v>
      </c>
      <c r="K129" s="45" t="str">
        <f aca="false">HYPERLINK("https://pub.fsa.gov.ru/rds/declaration/view/18758351/common", "ЕАЭС N RU Д-RU.РА03.В.05938/24")</f>
        <v>ЕАЭС N RU Д-RU.РА03.В.05938/24</v>
      </c>
      <c r="L129" s="46"/>
      <c r="M129" s="45"/>
      <c r="N129" s="47" t="s">
        <v>69</v>
      </c>
      <c r="O129" s="47" t="s">
        <v>70</v>
      </c>
    </row>
    <row r="130" customFormat="false" ht="18.15" hidden="false" customHeight="true" outlineLevel="0" collapsed="false">
      <c r="B130" s="42"/>
      <c r="C130" s="43" t="str">
        <f aca="false">HYPERLINK("https://www.emi-penza.ru/p/1352.3768-08_SO", "1352.3768-08 СЗ")</f>
        <v>1352.3768-08 СЗ</v>
      </c>
      <c r="D130" s="44"/>
      <c r="E130" s="44"/>
      <c r="F130" s="44"/>
      <c r="G130" s="44"/>
      <c r="H130" s="44"/>
      <c r="I130" s="45"/>
      <c r="J130" s="45" t="s">
        <v>68</v>
      </c>
      <c r="K130" s="45" t="str">
        <f aca="false">HYPERLINK("https://pub.fsa.gov.ru/rds/declaration/view/18758351/common", "ЕАЭС N RU Д-RU.РА03.В.05938/24")</f>
        <v>ЕАЭС N RU Д-RU.РА03.В.05938/24</v>
      </c>
      <c r="L130" s="46"/>
      <c r="M130" s="45"/>
      <c r="N130" s="47" t="s">
        <v>69</v>
      </c>
      <c r="O130" s="47" t="s">
        <v>70</v>
      </c>
    </row>
    <row r="131" customFormat="false" ht="13.6" hidden="false" customHeight="true" outlineLevel="0" collapsed="false">
      <c r="B131" s="48"/>
      <c r="C131" s="49" t="str">
        <f aca="false">HYPERLINK("https://www.emi-penza.ru/p/1352.3768-09", "1352.3768-09")</f>
        <v>1352.3768-09</v>
      </c>
      <c r="D131" s="50" t="s">
        <v>100</v>
      </c>
      <c r="E131" s="50"/>
      <c r="F131" s="50"/>
      <c r="G131" s="50"/>
      <c r="H131" s="50"/>
      <c r="I131" s="51"/>
      <c r="J131" s="51" t="s">
        <v>68</v>
      </c>
      <c r="K131" s="51" t="str">
        <f aca="false">HYPERLINK("https://pub.fsa.gov.ru/rds/declaration/view/18758351/common", "ЕАЭС N RU Д-RU.РА03.В.05938/24")</f>
        <v>ЕАЭС N RU Д-RU.РА03.В.05938/24</v>
      </c>
      <c r="L131" s="52"/>
      <c r="M131" s="51"/>
      <c r="N131" s="53" t="s">
        <v>69</v>
      </c>
      <c r="O131" s="53" t="s">
        <v>70</v>
      </c>
    </row>
    <row r="132" customFormat="false" ht="15" hidden="false" customHeight="true" outlineLevel="0" collapsed="false">
      <c r="B132" s="54"/>
      <c r="C132" s="55"/>
      <c r="D132" s="57" t="s">
        <v>101</v>
      </c>
      <c r="E132" s="56"/>
      <c r="F132" s="56"/>
      <c r="G132" s="56"/>
      <c r="H132" s="56"/>
      <c r="I132" s="57"/>
      <c r="J132" s="57"/>
      <c r="K132" s="57"/>
      <c r="L132" s="58"/>
      <c r="M132" s="57"/>
      <c r="N132" s="59"/>
      <c r="O132" s="59"/>
    </row>
    <row r="133" customFormat="false" ht="18.15" hidden="false" customHeight="true" outlineLevel="0" collapsed="false">
      <c r="B133" s="42"/>
      <c r="C133" s="43" t="str">
        <f aca="false">HYPERLINK("https://www.emi-penza.ru/p/1352.3768-10", "1352.3768-10")</f>
        <v>1352.3768-10</v>
      </c>
      <c r="D133" s="44"/>
      <c r="E133" s="44"/>
      <c r="F133" s="44"/>
      <c r="G133" s="44"/>
      <c r="H133" s="44"/>
      <c r="I133" s="45"/>
      <c r="J133" s="45" t="s">
        <v>68</v>
      </c>
      <c r="K133" s="45" t="str">
        <f aca="false">HYPERLINK("https://pub.fsa.gov.ru/rds/declaration/view/18758351/common", "ЕАЭС N RU Д-RU.РА03.В.05938/24")</f>
        <v>ЕАЭС N RU Д-RU.РА03.В.05938/24</v>
      </c>
      <c r="L133" s="46"/>
      <c r="M133" s="45"/>
      <c r="N133" s="47" t="s">
        <v>69</v>
      </c>
      <c r="O133" s="47" t="s">
        <v>70</v>
      </c>
    </row>
    <row r="134" customFormat="false" ht="18.15" hidden="false" customHeight="true" outlineLevel="0" collapsed="false">
      <c r="B134" s="42"/>
      <c r="C134" s="43" t="str">
        <f aca="false">HYPERLINK("https://www.emi-penza.ru/p/1352.3768-20", "1352.3768-20")</f>
        <v>1352.3768-20</v>
      </c>
      <c r="D134" s="44"/>
      <c r="E134" s="44"/>
      <c r="F134" s="44"/>
      <c r="G134" s="44"/>
      <c r="H134" s="44"/>
      <c r="I134" s="45"/>
      <c r="J134" s="45" t="s">
        <v>68</v>
      </c>
      <c r="K134" s="45" t="str">
        <f aca="false">HYPERLINK("https://pub.fsa.gov.ru/rds/declaration/view/18758351/common", "ЕАЭС N RU Д-RU.РА03.В.05938/24")</f>
        <v>ЕАЭС N RU Д-RU.РА03.В.05938/24</v>
      </c>
      <c r="L134" s="46"/>
      <c r="M134" s="45"/>
      <c r="N134" s="47" t="s">
        <v>69</v>
      </c>
      <c r="O134" s="47" t="s">
        <v>70</v>
      </c>
    </row>
    <row r="135" customFormat="false" ht="18.15" hidden="false" customHeight="true" outlineLevel="0" collapsed="false">
      <c r="B135" s="75"/>
      <c r="C135" s="76" t="str">
        <f aca="false">HYPERLINK("https://www.emi-penza.ru/p/1362.3768", "1362.3768")</f>
        <v>1362.3768</v>
      </c>
      <c r="D135" s="77" t="s">
        <v>102</v>
      </c>
      <c r="E135" s="77"/>
      <c r="F135" s="77"/>
      <c r="G135" s="77"/>
      <c r="H135" s="77"/>
      <c r="I135" s="78"/>
      <c r="J135" s="78" t="s">
        <v>68</v>
      </c>
      <c r="K135" s="78" t="str">
        <f aca="false">HYPERLINK("https://pub.fsa.gov.ru/rds/declaration/view/18758351/common", "ЕАЭС N RU Д-RU.РА03.В.05938/24")</f>
        <v>ЕАЭС N RU Д-RU.РА03.В.05938/24</v>
      </c>
      <c r="L135" s="77"/>
      <c r="M135" s="78"/>
      <c r="N135" s="79" t="s">
        <v>69</v>
      </c>
      <c r="O135" s="79" t="s">
        <v>70</v>
      </c>
    </row>
    <row r="136" customFormat="false" ht="9.95" hidden="false" customHeight="true" outlineLevel="0" collapsed="false">
      <c r="B136" s="74"/>
    </row>
    <row r="137" customFormat="false" ht="22.7" hidden="false" customHeight="true" outlineLevel="0" collapsed="false">
      <c r="B137" s="3"/>
      <c r="C137" s="35" t="s">
        <v>103</v>
      </c>
      <c r="D137" s="36"/>
      <c r="E137" s="36"/>
      <c r="F137" s="36"/>
      <c r="G137" s="36"/>
      <c r="H137" s="36"/>
      <c r="I137" s="36"/>
      <c r="J137" s="37"/>
      <c r="K137" s="37"/>
      <c r="L137" s="38"/>
      <c r="M137" s="37"/>
      <c r="N137" s="39"/>
      <c r="O137" s="39"/>
    </row>
    <row r="138" customFormat="false" ht="2.85" hidden="false" customHeight="true" outlineLevel="0" collapsed="false">
      <c r="B138" s="3"/>
    </row>
    <row r="139" customFormat="false" ht="30.75" hidden="false" customHeight="true" outlineLevel="0" collapsed="false">
      <c r="B139" s="82"/>
      <c r="C139" s="83" t="s">
        <v>104</v>
      </c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 t="n">
        <v>0</v>
      </c>
      <c r="P139" s="84"/>
      <c r="Q139" s="85"/>
      <c r="R139" s="85"/>
      <c r="S139" s="85"/>
      <c r="T139" s="85"/>
      <c r="U139" s="85"/>
      <c r="V139" s="85"/>
      <c r="W139" s="85"/>
      <c r="X139" s="85"/>
      <c r="Y139" s="85"/>
      <c r="Z139" s="85"/>
      <c r="AA139" s="85"/>
      <c r="AB139" s="85"/>
      <c r="AC139" s="85"/>
      <c r="AD139" s="85"/>
      <c r="AE139" s="85"/>
      <c r="AF139" s="85"/>
      <c r="AG139" s="85"/>
      <c r="AH139" s="85"/>
      <c r="AI139" s="85"/>
      <c r="AJ139" s="85"/>
      <c r="AK139" s="85"/>
      <c r="AL139" s="85"/>
      <c r="AM139" s="85"/>
      <c r="AN139" s="85"/>
      <c r="AO139" s="85"/>
      <c r="AP139" s="85"/>
      <c r="AQ139" s="85"/>
      <c r="AR139" s="85"/>
      <c r="AS139" s="85"/>
      <c r="AT139" s="85"/>
      <c r="AU139" s="85"/>
      <c r="AV139" s="85"/>
      <c r="AW139" s="85"/>
      <c r="AX139" s="85"/>
      <c r="AY139" s="85"/>
      <c r="AZ139" s="85"/>
      <c r="BA139" s="85"/>
      <c r="BB139" s="85"/>
      <c r="BC139" s="85"/>
      <c r="BD139" s="85"/>
      <c r="BE139" s="85"/>
      <c r="BF139" s="85"/>
      <c r="BG139" s="85"/>
      <c r="BH139" s="85"/>
      <c r="BI139" s="85"/>
      <c r="BJ139" s="85"/>
      <c r="BK139" s="85"/>
      <c r="BL139" s="85"/>
      <c r="BM139" s="85"/>
      <c r="BN139" s="85"/>
      <c r="BO139" s="85"/>
      <c r="BP139" s="85"/>
      <c r="BQ139" s="85"/>
      <c r="BR139" s="85"/>
      <c r="BS139" s="85"/>
      <c r="BT139" s="85"/>
      <c r="BU139" s="85"/>
      <c r="BV139" s="85"/>
      <c r="BW139" s="85"/>
      <c r="BX139" s="85"/>
      <c r="BY139" s="85"/>
      <c r="BZ139" s="85"/>
      <c r="CA139" s="85"/>
      <c r="CB139" s="85"/>
      <c r="CC139" s="85"/>
      <c r="CD139" s="85"/>
      <c r="CE139" s="85"/>
      <c r="CF139" s="85"/>
      <c r="CG139" s="85"/>
      <c r="CH139" s="85"/>
      <c r="CI139" s="85"/>
      <c r="CJ139" s="85"/>
      <c r="CK139" s="85"/>
      <c r="CL139" s="85"/>
      <c r="CM139" s="85"/>
      <c r="CN139" s="85"/>
      <c r="CO139" s="85"/>
      <c r="CP139" s="85"/>
      <c r="CQ139" s="85"/>
      <c r="CR139" s="85"/>
      <c r="CS139" s="85"/>
      <c r="CT139" s="85"/>
      <c r="CU139" s="85"/>
      <c r="CV139" s="85"/>
      <c r="CW139" s="85"/>
      <c r="CX139" s="85"/>
      <c r="CY139" s="85"/>
      <c r="CZ139" s="85"/>
      <c r="DA139" s="85"/>
      <c r="DB139" s="85"/>
      <c r="DC139" s="85"/>
      <c r="DD139" s="85"/>
      <c r="DE139" s="85"/>
      <c r="DF139" s="85"/>
      <c r="DG139" s="85"/>
      <c r="DH139" s="85"/>
      <c r="DI139" s="85"/>
      <c r="DJ139" s="85"/>
      <c r="DK139" s="85"/>
      <c r="DL139" s="85"/>
      <c r="DM139" s="85"/>
      <c r="DN139" s="85"/>
      <c r="DO139" s="85"/>
      <c r="DP139" s="85"/>
      <c r="DQ139" s="85"/>
      <c r="DR139" s="85"/>
      <c r="DS139" s="85"/>
      <c r="DT139" s="85"/>
      <c r="DU139" s="85"/>
      <c r="DV139" s="85"/>
      <c r="DW139" s="85"/>
      <c r="DX139" s="85"/>
      <c r="DY139" s="85"/>
      <c r="DZ139" s="85"/>
      <c r="EA139" s="85"/>
      <c r="EB139" s="85"/>
      <c r="EC139" s="85"/>
      <c r="ED139" s="85"/>
      <c r="EE139" s="85"/>
      <c r="EF139" s="85"/>
      <c r="EG139" s="85"/>
      <c r="EH139" s="85"/>
      <c r="EI139" s="85"/>
      <c r="EJ139" s="85"/>
      <c r="EK139" s="85"/>
      <c r="EL139" s="85"/>
      <c r="EM139" s="85"/>
      <c r="EN139" s="85"/>
      <c r="EO139" s="85"/>
      <c r="EP139" s="85"/>
      <c r="EQ139" s="85"/>
      <c r="ER139" s="85"/>
      <c r="ES139" s="85"/>
      <c r="ET139" s="85"/>
      <c r="EU139" s="85"/>
      <c r="EV139" s="85"/>
      <c r="EW139" s="85"/>
      <c r="EX139" s="85"/>
      <c r="EY139" s="85"/>
      <c r="EZ139" s="85"/>
      <c r="FA139" s="85"/>
      <c r="FB139" s="85"/>
      <c r="FC139" s="85"/>
      <c r="FD139" s="85"/>
      <c r="FE139" s="85"/>
      <c r="FF139" s="85"/>
      <c r="FG139" s="85"/>
      <c r="FH139" s="85"/>
      <c r="FI139" s="85"/>
      <c r="FJ139" s="85"/>
      <c r="FK139" s="85"/>
      <c r="FL139" s="85"/>
      <c r="FM139" s="85"/>
      <c r="FN139" s="85"/>
      <c r="FO139" s="85"/>
      <c r="FP139" s="85"/>
      <c r="FQ139" s="85"/>
      <c r="FR139" s="85"/>
      <c r="FS139" s="85"/>
      <c r="FT139" s="85"/>
      <c r="FU139" s="85"/>
      <c r="FV139" s="85"/>
      <c r="FW139" s="85"/>
      <c r="FX139" s="85"/>
      <c r="FY139" s="85"/>
      <c r="FZ139" s="85"/>
      <c r="GA139" s="85"/>
      <c r="GB139" s="85"/>
      <c r="GC139" s="85"/>
      <c r="GD139" s="85"/>
      <c r="GE139" s="85"/>
      <c r="GF139" s="85"/>
      <c r="GG139" s="85"/>
      <c r="GH139" s="85"/>
      <c r="GI139" s="85"/>
      <c r="GJ139" s="85"/>
      <c r="GK139" s="85"/>
      <c r="GL139" s="85"/>
      <c r="GM139" s="85"/>
      <c r="GN139" s="85"/>
      <c r="GO139" s="85"/>
      <c r="GP139" s="85"/>
      <c r="GQ139" s="85"/>
      <c r="GR139" s="85"/>
      <c r="GS139" s="85"/>
      <c r="GT139" s="85"/>
      <c r="GU139" s="85"/>
      <c r="GV139" s="85"/>
      <c r="GW139" s="85"/>
      <c r="GX139" s="85"/>
      <c r="GY139" s="85"/>
      <c r="GZ139" s="85"/>
      <c r="HA139" s="85"/>
      <c r="HB139" s="85"/>
      <c r="HC139" s="85"/>
      <c r="HD139" s="85"/>
      <c r="HE139" s="85"/>
      <c r="HF139" s="85"/>
      <c r="HG139" s="85"/>
      <c r="HH139" s="85"/>
      <c r="HI139" s="85"/>
      <c r="HJ139" s="85"/>
      <c r="HK139" s="85"/>
      <c r="HL139" s="85"/>
      <c r="HM139" s="85"/>
      <c r="HN139" s="85"/>
      <c r="HO139" s="85"/>
      <c r="HP139" s="85"/>
      <c r="HQ139" s="85"/>
      <c r="HR139" s="85"/>
      <c r="HS139" s="85"/>
      <c r="HT139" s="85"/>
      <c r="HU139" s="85"/>
      <c r="HV139" s="85"/>
      <c r="HW139" s="85"/>
      <c r="HX139" s="85"/>
      <c r="HY139" s="85"/>
      <c r="HZ139" s="85"/>
      <c r="IA139" s="85"/>
      <c r="IB139" s="85"/>
      <c r="IC139" s="85"/>
      <c r="ID139" s="85"/>
      <c r="IE139" s="85"/>
      <c r="IF139" s="85"/>
      <c r="IG139" s="85"/>
      <c r="IH139" s="85"/>
      <c r="II139" s="85"/>
      <c r="IJ139" s="85"/>
      <c r="IK139" s="85"/>
      <c r="IL139" s="85"/>
      <c r="IM139" s="85"/>
      <c r="IN139" s="85"/>
      <c r="IO139" s="85"/>
      <c r="IP139" s="85"/>
      <c r="IQ139" s="85"/>
      <c r="IR139" s="85"/>
      <c r="IS139" s="85"/>
      <c r="IT139" s="85"/>
      <c r="IU139" s="85"/>
      <c r="IV139" s="85"/>
      <c r="IW139" s="85"/>
      <c r="IX139" s="85"/>
      <c r="IY139" s="85"/>
      <c r="IZ139" s="85"/>
      <c r="JA139" s="85"/>
      <c r="JB139" s="85"/>
      <c r="JC139" s="85"/>
      <c r="JD139" s="85"/>
      <c r="JE139" s="85"/>
      <c r="JF139" s="85"/>
      <c r="JG139" s="85"/>
      <c r="JH139" s="85"/>
      <c r="JI139" s="85"/>
      <c r="JJ139" s="85"/>
      <c r="JK139" s="85"/>
      <c r="JL139" s="85"/>
      <c r="JM139" s="85"/>
      <c r="JN139" s="85"/>
      <c r="JO139" s="85"/>
      <c r="JP139" s="85"/>
      <c r="JQ139" s="85"/>
      <c r="JR139" s="85"/>
      <c r="JS139" s="85"/>
      <c r="JT139" s="85"/>
      <c r="JU139" s="85"/>
      <c r="JV139" s="85"/>
      <c r="JW139" s="85"/>
      <c r="JX139" s="85"/>
      <c r="JY139" s="85"/>
      <c r="JZ139" s="85"/>
      <c r="KA139" s="85"/>
      <c r="KB139" s="85"/>
      <c r="KC139" s="85"/>
      <c r="KD139" s="85"/>
      <c r="KE139" s="85"/>
      <c r="KF139" s="85"/>
      <c r="KG139" s="85"/>
      <c r="KH139" s="85"/>
      <c r="KI139" s="85"/>
      <c r="KJ139" s="85"/>
      <c r="KK139" s="85"/>
      <c r="KL139" s="85"/>
      <c r="KM139" s="85"/>
      <c r="KN139" s="85"/>
      <c r="KO139" s="85"/>
      <c r="KP139" s="85"/>
      <c r="KQ139" s="85"/>
      <c r="KR139" s="85"/>
      <c r="KS139" s="85"/>
      <c r="KT139" s="85"/>
      <c r="KU139" s="85"/>
      <c r="KV139" s="85"/>
      <c r="KW139" s="85"/>
      <c r="KX139" s="85"/>
      <c r="KY139" s="85"/>
      <c r="KZ139" s="85"/>
      <c r="LA139" s="85"/>
      <c r="LB139" s="85"/>
      <c r="LC139" s="85"/>
      <c r="LD139" s="85"/>
      <c r="LE139" s="85"/>
      <c r="LF139" s="85"/>
      <c r="LG139" s="85"/>
      <c r="LH139" s="85"/>
      <c r="LI139" s="85"/>
      <c r="LJ139" s="85"/>
      <c r="LK139" s="85"/>
      <c r="LL139" s="85"/>
      <c r="LM139" s="85"/>
      <c r="LN139" s="85"/>
      <c r="LO139" s="85"/>
      <c r="LP139" s="85"/>
      <c r="LQ139" s="85"/>
      <c r="LR139" s="85"/>
      <c r="LS139" s="85"/>
      <c r="LT139" s="85"/>
      <c r="LU139" s="85"/>
      <c r="LV139" s="85"/>
      <c r="LW139" s="85"/>
      <c r="LX139" s="85"/>
      <c r="LY139" s="85"/>
      <c r="LZ139" s="85"/>
      <c r="MA139" s="85"/>
      <c r="MB139" s="85"/>
      <c r="MC139" s="85"/>
      <c r="MD139" s="85"/>
      <c r="ME139" s="85"/>
      <c r="MF139" s="85"/>
      <c r="MG139" s="85"/>
      <c r="MH139" s="85"/>
      <c r="MI139" s="85"/>
      <c r="MJ139" s="85"/>
      <c r="MK139" s="85"/>
      <c r="ML139" s="85"/>
      <c r="MM139" s="85"/>
      <c r="MN139" s="85"/>
      <c r="MO139" s="85"/>
      <c r="MP139" s="85"/>
      <c r="MQ139" s="85"/>
      <c r="MR139" s="85"/>
      <c r="MS139" s="85"/>
      <c r="MT139" s="85"/>
      <c r="MU139" s="85"/>
      <c r="MV139" s="85"/>
      <c r="MW139" s="85"/>
      <c r="MX139" s="85"/>
      <c r="MY139" s="85"/>
      <c r="MZ139" s="85"/>
      <c r="NA139" s="85"/>
      <c r="NB139" s="85"/>
      <c r="NC139" s="85"/>
      <c r="ND139" s="85"/>
      <c r="NE139" s="85"/>
      <c r="NF139" s="85"/>
      <c r="NG139" s="85"/>
      <c r="NH139" s="85"/>
      <c r="NI139" s="85"/>
      <c r="NJ139" s="85"/>
      <c r="NK139" s="85"/>
      <c r="NL139" s="85"/>
      <c r="NM139" s="85"/>
      <c r="NN139" s="85"/>
      <c r="NO139" s="85"/>
      <c r="NP139" s="85"/>
      <c r="NQ139" s="85"/>
      <c r="NR139" s="85"/>
      <c r="NS139" s="85"/>
      <c r="NT139" s="85"/>
      <c r="NU139" s="85"/>
      <c r="NV139" s="85"/>
      <c r="NW139" s="85"/>
      <c r="NX139" s="85"/>
      <c r="NY139" s="85"/>
      <c r="NZ139" s="85"/>
      <c r="OA139" s="85"/>
      <c r="OB139" s="85"/>
      <c r="OC139" s="85"/>
      <c r="OD139" s="85"/>
      <c r="OE139" s="85"/>
      <c r="OF139" s="85"/>
      <c r="OG139" s="85"/>
      <c r="OH139" s="85"/>
      <c r="OI139" s="85"/>
      <c r="OJ139" s="85"/>
      <c r="OK139" s="85"/>
      <c r="OL139" s="85"/>
      <c r="OM139" s="85"/>
      <c r="ON139" s="85"/>
      <c r="OO139" s="85"/>
      <c r="OP139" s="85"/>
      <c r="OQ139" s="85"/>
      <c r="OR139" s="85"/>
      <c r="OS139" s="85"/>
      <c r="OT139" s="85"/>
      <c r="OU139" s="85"/>
      <c r="OV139" s="85"/>
      <c r="OW139" s="85"/>
      <c r="OX139" s="85"/>
      <c r="OY139" s="85"/>
      <c r="OZ139" s="85"/>
      <c r="PA139" s="85"/>
      <c r="PB139" s="85"/>
      <c r="PC139" s="85"/>
      <c r="PD139" s="85"/>
      <c r="PE139" s="85"/>
      <c r="PF139" s="85"/>
      <c r="PG139" s="85"/>
      <c r="PH139" s="85"/>
      <c r="PI139" s="85"/>
      <c r="PJ139" s="85"/>
      <c r="PK139" s="85"/>
      <c r="PL139" s="85"/>
      <c r="PM139" s="85"/>
      <c r="PN139" s="85"/>
      <c r="PO139" s="85"/>
      <c r="PP139" s="85"/>
      <c r="PQ139" s="85"/>
      <c r="PR139" s="85"/>
      <c r="PS139" s="85"/>
      <c r="PT139" s="85"/>
      <c r="PU139" s="85"/>
      <c r="PV139" s="85"/>
      <c r="PW139" s="85"/>
      <c r="PX139" s="85"/>
      <c r="PY139" s="85"/>
      <c r="PZ139" s="85"/>
      <c r="QA139" s="85"/>
      <c r="QB139" s="85"/>
      <c r="QC139" s="85"/>
      <c r="QD139" s="85"/>
      <c r="QE139" s="85"/>
      <c r="QF139" s="85"/>
      <c r="QG139" s="85"/>
      <c r="QH139" s="85"/>
      <c r="QI139" s="85"/>
      <c r="QJ139" s="85"/>
      <c r="QK139" s="85"/>
      <c r="QL139" s="85"/>
      <c r="QM139" s="85"/>
      <c r="QN139" s="85"/>
      <c r="QO139" s="85"/>
      <c r="QP139" s="85"/>
      <c r="QQ139" s="85"/>
      <c r="QR139" s="85"/>
      <c r="QS139" s="85"/>
      <c r="QT139" s="85"/>
      <c r="QU139" s="85"/>
      <c r="QV139" s="85"/>
      <c r="QW139" s="85"/>
      <c r="QX139" s="85"/>
      <c r="QY139" s="85"/>
      <c r="QZ139" s="85"/>
      <c r="RA139" s="85"/>
      <c r="RB139" s="85"/>
      <c r="RC139" s="85"/>
      <c r="RD139" s="85"/>
      <c r="RE139" s="85"/>
      <c r="RF139" s="85"/>
      <c r="RG139" s="85"/>
      <c r="RH139" s="85"/>
      <c r="RI139" s="85"/>
      <c r="RJ139" s="85"/>
      <c r="RK139" s="85"/>
      <c r="RL139" s="85"/>
      <c r="RM139" s="85"/>
      <c r="RN139" s="85"/>
      <c r="RO139" s="85"/>
      <c r="RP139" s="85"/>
      <c r="RQ139" s="85"/>
      <c r="RR139" s="85"/>
      <c r="RS139" s="85"/>
      <c r="RT139" s="85"/>
      <c r="RU139" s="85"/>
      <c r="RV139" s="85"/>
      <c r="RW139" s="85"/>
      <c r="RX139" s="85"/>
      <c r="RY139" s="85"/>
      <c r="RZ139" s="85"/>
      <c r="SA139" s="85"/>
      <c r="SB139" s="85"/>
      <c r="SC139" s="85"/>
      <c r="SD139" s="85"/>
      <c r="SE139" s="85"/>
      <c r="SF139" s="85"/>
      <c r="SG139" s="85"/>
      <c r="SH139" s="85"/>
      <c r="SI139" s="85"/>
      <c r="SJ139" s="85"/>
      <c r="SK139" s="85"/>
      <c r="SL139" s="85"/>
      <c r="SM139" s="85"/>
      <c r="SN139" s="85"/>
      <c r="SO139" s="85"/>
      <c r="SP139" s="85"/>
      <c r="SQ139" s="85"/>
      <c r="SR139" s="85"/>
      <c r="SS139" s="85"/>
      <c r="ST139" s="85"/>
      <c r="SU139" s="85"/>
      <c r="SV139" s="85"/>
      <c r="SW139" s="85"/>
      <c r="SX139" s="85"/>
      <c r="SY139" s="85"/>
      <c r="SZ139" s="85"/>
      <c r="TA139" s="85"/>
      <c r="TB139" s="85"/>
      <c r="TC139" s="85"/>
      <c r="TD139" s="85"/>
      <c r="TE139" s="85"/>
      <c r="TF139" s="85"/>
      <c r="TG139" s="85"/>
      <c r="TH139" s="85"/>
      <c r="TI139" s="85"/>
      <c r="TJ139" s="85"/>
      <c r="TK139" s="85"/>
      <c r="TL139" s="85"/>
      <c r="TM139" s="85"/>
      <c r="TN139" s="85"/>
      <c r="TO139" s="85"/>
      <c r="TP139" s="85"/>
      <c r="TQ139" s="85"/>
      <c r="TR139" s="85"/>
      <c r="TS139" s="85"/>
      <c r="TT139" s="85"/>
      <c r="TU139" s="85"/>
      <c r="TV139" s="85"/>
      <c r="TW139" s="85"/>
      <c r="TX139" s="85"/>
      <c r="TY139" s="85"/>
      <c r="TZ139" s="85"/>
      <c r="UA139" s="85"/>
      <c r="UB139" s="85"/>
      <c r="UC139" s="85"/>
      <c r="UD139" s="85"/>
      <c r="UE139" s="85"/>
      <c r="UF139" s="85"/>
      <c r="UG139" s="85"/>
      <c r="UH139" s="85"/>
      <c r="UI139" s="85"/>
      <c r="UJ139" s="85"/>
      <c r="UK139" s="85"/>
      <c r="UL139" s="85"/>
      <c r="UM139" s="85"/>
      <c r="UN139" s="85"/>
      <c r="UO139" s="85"/>
      <c r="UP139" s="85"/>
      <c r="UQ139" s="85"/>
      <c r="UR139" s="85"/>
      <c r="US139" s="85"/>
      <c r="UT139" s="85"/>
      <c r="UU139" s="85"/>
      <c r="UV139" s="85"/>
      <c r="UW139" s="85"/>
      <c r="UX139" s="85"/>
      <c r="UY139" s="85"/>
      <c r="UZ139" s="85"/>
      <c r="VA139" s="85"/>
      <c r="VB139" s="85"/>
      <c r="VC139" s="85"/>
      <c r="VD139" s="85"/>
      <c r="VE139" s="85"/>
      <c r="VF139" s="85"/>
      <c r="VG139" s="85"/>
      <c r="VH139" s="85"/>
      <c r="VI139" s="85"/>
      <c r="VJ139" s="85"/>
      <c r="VK139" s="85"/>
      <c r="VL139" s="85"/>
      <c r="VM139" s="85"/>
      <c r="VN139" s="85"/>
      <c r="VO139" s="85"/>
      <c r="VP139" s="85"/>
      <c r="VQ139" s="85"/>
      <c r="VR139" s="85"/>
      <c r="VS139" s="85"/>
      <c r="VT139" s="85"/>
      <c r="VU139" s="85"/>
      <c r="VV139" s="85"/>
      <c r="VW139" s="85"/>
      <c r="VX139" s="85"/>
      <c r="VY139" s="85"/>
      <c r="VZ139" s="85"/>
      <c r="WA139" s="85"/>
      <c r="WB139" s="85"/>
      <c r="WC139" s="85"/>
      <c r="WD139" s="85"/>
      <c r="WE139" s="85"/>
      <c r="WF139" s="85"/>
      <c r="WG139" s="85"/>
      <c r="WH139" s="85"/>
      <c r="WI139" s="85"/>
      <c r="WJ139" s="85"/>
      <c r="WK139" s="85"/>
      <c r="WL139" s="85"/>
      <c r="WM139" s="85"/>
      <c r="WN139" s="85"/>
      <c r="WO139" s="85"/>
      <c r="WP139" s="85"/>
      <c r="WQ139" s="85"/>
      <c r="WR139" s="85"/>
      <c r="WS139" s="85"/>
      <c r="WT139" s="85"/>
      <c r="WU139" s="85"/>
      <c r="WV139" s="85"/>
      <c r="WW139" s="85"/>
      <c r="WX139" s="85"/>
      <c r="WY139" s="85"/>
      <c r="WZ139" s="85"/>
      <c r="XA139" s="85"/>
      <c r="XB139" s="85"/>
      <c r="XC139" s="85"/>
      <c r="XD139" s="85"/>
      <c r="XE139" s="85"/>
      <c r="XF139" s="85"/>
      <c r="XG139" s="85"/>
      <c r="XH139" s="85"/>
      <c r="XI139" s="85"/>
      <c r="XJ139" s="85"/>
      <c r="XK139" s="85"/>
      <c r="XL139" s="85"/>
      <c r="XM139" s="85"/>
      <c r="XN139" s="85"/>
      <c r="XO139" s="85"/>
      <c r="XP139" s="85"/>
      <c r="XQ139" s="85"/>
      <c r="XR139" s="85"/>
      <c r="XS139" s="85"/>
      <c r="XT139" s="85"/>
      <c r="XU139" s="85"/>
      <c r="XV139" s="85"/>
      <c r="XW139" s="85"/>
      <c r="XX139" s="85"/>
      <c r="XY139" s="85"/>
      <c r="XZ139" s="85"/>
      <c r="YA139" s="85"/>
      <c r="YB139" s="85"/>
      <c r="YC139" s="85"/>
      <c r="YD139" s="85"/>
      <c r="YE139" s="85"/>
      <c r="YF139" s="85"/>
      <c r="YG139" s="85"/>
      <c r="YH139" s="85"/>
      <c r="YI139" s="85"/>
      <c r="YJ139" s="85"/>
      <c r="YK139" s="85"/>
      <c r="YL139" s="85"/>
      <c r="YM139" s="85"/>
      <c r="YN139" s="85"/>
      <c r="YO139" s="85"/>
      <c r="YP139" s="85"/>
      <c r="YQ139" s="85"/>
      <c r="YR139" s="85"/>
      <c r="YS139" s="85"/>
      <c r="YT139" s="85"/>
      <c r="YU139" s="85"/>
      <c r="YV139" s="85"/>
      <c r="YW139" s="85"/>
      <c r="YX139" s="85"/>
      <c r="YY139" s="85"/>
      <c r="YZ139" s="85"/>
      <c r="ZA139" s="85"/>
      <c r="ZB139" s="85"/>
      <c r="ZC139" s="85"/>
      <c r="ZD139" s="85"/>
      <c r="ZE139" s="85"/>
      <c r="ZF139" s="85"/>
      <c r="ZG139" s="85"/>
      <c r="ZH139" s="85"/>
      <c r="ZI139" s="85"/>
      <c r="ZJ139" s="85"/>
      <c r="ZK139" s="85"/>
      <c r="ZL139" s="85"/>
      <c r="ZM139" s="85"/>
      <c r="ZN139" s="85"/>
      <c r="ZO139" s="85"/>
      <c r="ZP139" s="85"/>
      <c r="ZQ139" s="85"/>
      <c r="ZR139" s="85"/>
      <c r="ZS139" s="85"/>
      <c r="ZT139" s="85"/>
      <c r="ZU139" s="85"/>
      <c r="ZV139" s="85"/>
      <c r="ZW139" s="85"/>
      <c r="ZX139" s="85"/>
      <c r="ZY139" s="85"/>
      <c r="ZZ139" s="85"/>
      <c r="AAA139" s="85"/>
      <c r="AAB139" s="85"/>
      <c r="AAC139" s="85"/>
      <c r="AAD139" s="85"/>
      <c r="AAE139" s="85"/>
      <c r="AAF139" s="85"/>
      <c r="AAG139" s="85"/>
      <c r="AAH139" s="85"/>
      <c r="AAI139" s="85"/>
      <c r="AAJ139" s="85"/>
      <c r="AAK139" s="85"/>
      <c r="AAL139" s="85"/>
      <c r="AAM139" s="85"/>
      <c r="AAN139" s="85"/>
      <c r="AAO139" s="85"/>
      <c r="AAP139" s="85"/>
      <c r="AAQ139" s="85"/>
      <c r="AAR139" s="85"/>
      <c r="AAS139" s="85"/>
      <c r="AAT139" s="85"/>
      <c r="AAU139" s="85"/>
      <c r="AAV139" s="85"/>
      <c r="AAW139" s="85"/>
      <c r="AAX139" s="85"/>
      <c r="AAY139" s="85"/>
      <c r="AAZ139" s="85"/>
      <c r="ABA139" s="85"/>
      <c r="ABB139" s="85"/>
      <c r="ABC139" s="85"/>
      <c r="ABD139" s="85"/>
      <c r="ABE139" s="85"/>
      <c r="ABF139" s="85"/>
      <c r="ABG139" s="85"/>
      <c r="ABH139" s="85"/>
      <c r="ABI139" s="85"/>
      <c r="ABJ139" s="85"/>
      <c r="ABK139" s="85"/>
      <c r="ABL139" s="85"/>
      <c r="ABM139" s="85"/>
      <c r="ABN139" s="85"/>
      <c r="ABO139" s="85"/>
      <c r="ABP139" s="85"/>
      <c r="ABQ139" s="85"/>
      <c r="ABR139" s="85"/>
      <c r="ABS139" s="85"/>
      <c r="ABT139" s="85"/>
      <c r="ABU139" s="85"/>
      <c r="ABV139" s="85"/>
      <c r="ABW139" s="85"/>
      <c r="ABX139" s="85"/>
      <c r="ABY139" s="85"/>
      <c r="ABZ139" s="85"/>
      <c r="ACA139" s="85"/>
      <c r="ACB139" s="85"/>
      <c r="ACC139" s="85"/>
      <c r="ACD139" s="85"/>
      <c r="ACE139" s="85"/>
      <c r="ACF139" s="85"/>
      <c r="ACG139" s="85"/>
      <c r="ACH139" s="85"/>
      <c r="ACI139" s="85"/>
      <c r="ACJ139" s="85"/>
      <c r="ACK139" s="85"/>
      <c r="ACL139" s="85"/>
      <c r="ACM139" s="85"/>
      <c r="ACN139" s="85"/>
      <c r="ACO139" s="85"/>
      <c r="ACP139" s="85"/>
      <c r="ACQ139" s="85"/>
      <c r="ACR139" s="85"/>
      <c r="ACS139" s="85"/>
      <c r="ACT139" s="85"/>
      <c r="ACU139" s="85"/>
      <c r="ACV139" s="85"/>
      <c r="ACW139" s="85"/>
      <c r="ACX139" s="85"/>
      <c r="ACY139" s="85"/>
      <c r="ACZ139" s="85"/>
      <c r="ADA139" s="85"/>
      <c r="ADB139" s="85"/>
      <c r="ADC139" s="85"/>
      <c r="ADD139" s="85"/>
      <c r="ADE139" s="85"/>
      <c r="ADF139" s="85"/>
      <c r="ADG139" s="85"/>
      <c r="ADH139" s="85"/>
      <c r="ADI139" s="85"/>
      <c r="ADJ139" s="85"/>
      <c r="ADK139" s="85"/>
      <c r="ADL139" s="85"/>
      <c r="ADM139" s="85"/>
      <c r="ADN139" s="85"/>
      <c r="ADO139" s="85"/>
      <c r="ADP139" s="85"/>
      <c r="ADQ139" s="85"/>
      <c r="ADR139" s="85"/>
      <c r="ADS139" s="85"/>
      <c r="ADT139" s="85"/>
      <c r="ADU139" s="85"/>
      <c r="ADV139" s="85"/>
      <c r="ADW139" s="85"/>
      <c r="ADX139" s="85"/>
      <c r="ADY139" s="85"/>
      <c r="ADZ139" s="85"/>
      <c r="AEA139" s="85"/>
      <c r="AEB139" s="85"/>
      <c r="AEC139" s="85"/>
      <c r="AED139" s="85"/>
      <c r="AEE139" s="85"/>
      <c r="AEF139" s="85"/>
      <c r="AEG139" s="85"/>
      <c r="AEH139" s="85"/>
      <c r="AEI139" s="85"/>
      <c r="AEJ139" s="85"/>
      <c r="AEK139" s="85"/>
      <c r="AEL139" s="85"/>
      <c r="AEM139" s="85"/>
      <c r="AEN139" s="85"/>
      <c r="AEO139" s="85"/>
      <c r="AEP139" s="85"/>
      <c r="AEQ139" s="85"/>
      <c r="AER139" s="85"/>
      <c r="AES139" s="85"/>
      <c r="AET139" s="85"/>
      <c r="AEU139" s="85"/>
      <c r="AEV139" s="85"/>
      <c r="AEW139" s="85"/>
      <c r="AEX139" s="85"/>
      <c r="AEY139" s="85"/>
      <c r="AEZ139" s="85"/>
      <c r="AFA139" s="85"/>
      <c r="AFB139" s="85"/>
      <c r="AFC139" s="85"/>
      <c r="AFD139" s="85"/>
      <c r="AFE139" s="85"/>
      <c r="AFF139" s="85"/>
      <c r="AFG139" s="85"/>
      <c r="AFH139" s="85"/>
      <c r="AFI139" s="85"/>
      <c r="AFJ139" s="85"/>
      <c r="AFK139" s="85"/>
      <c r="AFL139" s="85"/>
      <c r="AFM139" s="85"/>
      <c r="AFN139" s="85"/>
      <c r="AFO139" s="85"/>
      <c r="AFP139" s="85"/>
      <c r="AFQ139" s="85"/>
      <c r="AFR139" s="85"/>
      <c r="AFS139" s="85"/>
      <c r="AFT139" s="85"/>
      <c r="AFU139" s="85"/>
      <c r="AFV139" s="85"/>
      <c r="AFW139" s="85"/>
      <c r="AFX139" s="85"/>
      <c r="AFY139" s="85"/>
      <c r="AFZ139" s="85"/>
      <c r="AGA139" s="85"/>
      <c r="AGB139" s="85"/>
      <c r="AGC139" s="85"/>
      <c r="AGD139" s="85"/>
      <c r="AGE139" s="85"/>
      <c r="AGF139" s="85"/>
      <c r="AGG139" s="85"/>
      <c r="AGH139" s="85"/>
      <c r="AGI139" s="85"/>
      <c r="AGJ139" s="85"/>
      <c r="AGK139" s="85"/>
      <c r="AGL139" s="85"/>
      <c r="AGM139" s="85"/>
      <c r="AGN139" s="85"/>
      <c r="AGO139" s="85"/>
      <c r="AGP139" s="85"/>
      <c r="AGQ139" s="85"/>
      <c r="AGR139" s="85"/>
      <c r="AGS139" s="85"/>
      <c r="AGT139" s="85"/>
      <c r="AGU139" s="85"/>
      <c r="AGV139" s="85"/>
      <c r="AGW139" s="85"/>
      <c r="AGX139" s="85"/>
      <c r="AGY139" s="85"/>
      <c r="AGZ139" s="85"/>
      <c r="AHA139" s="85"/>
      <c r="AHB139" s="85"/>
      <c r="AHC139" s="85"/>
      <c r="AHD139" s="85"/>
      <c r="AHE139" s="85"/>
      <c r="AHF139" s="85"/>
      <c r="AHG139" s="85"/>
      <c r="AHH139" s="85"/>
      <c r="AHI139" s="85"/>
      <c r="AHJ139" s="85"/>
      <c r="AHK139" s="85"/>
      <c r="AHL139" s="85"/>
      <c r="AHM139" s="85"/>
      <c r="AHN139" s="85"/>
      <c r="AHO139" s="85"/>
      <c r="AHP139" s="85"/>
      <c r="AHQ139" s="85"/>
      <c r="AHR139" s="85"/>
      <c r="AHS139" s="85"/>
      <c r="AHT139" s="85"/>
      <c r="AHU139" s="85"/>
      <c r="AHV139" s="85"/>
      <c r="AHW139" s="85"/>
      <c r="AHX139" s="85"/>
      <c r="AHY139" s="85"/>
      <c r="AHZ139" s="85"/>
      <c r="AIA139" s="85"/>
      <c r="AIB139" s="85"/>
      <c r="AIC139" s="85"/>
      <c r="AID139" s="85"/>
      <c r="AIE139" s="85"/>
      <c r="AIF139" s="85"/>
      <c r="AIG139" s="85"/>
      <c r="AIH139" s="85"/>
      <c r="AII139" s="85"/>
      <c r="AIJ139" s="85"/>
      <c r="AIK139" s="85"/>
      <c r="AIL139" s="85"/>
      <c r="AIM139" s="85"/>
      <c r="AIN139" s="85"/>
      <c r="AIO139" s="85"/>
      <c r="AIP139" s="85"/>
      <c r="AIQ139" s="85"/>
      <c r="AIR139" s="85"/>
      <c r="AIS139" s="85"/>
      <c r="AIT139" s="85"/>
      <c r="AIU139" s="85"/>
      <c r="AIV139" s="85"/>
      <c r="AIW139" s="85"/>
      <c r="AIX139" s="85"/>
      <c r="AIY139" s="85"/>
      <c r="AIZ139" s="85"/>
      <c r="AJA139" s="85"/>
      <c r="AJB139" s="85"/>
      <c r="AJC139" s="85"/>
      <c r="AJD139" s="85"/>
      <c r="AJE139" s="85"/>
      <c r="AJF139" s="85"/>
      <c r="AJG139" s="85"/>
      <c r="AJH139" s="85"/>
      <c r="AJI139" s="85"/>
      <c r="AJJ139" s="85"/>
      <c r="AJK139" s="85"/>
      <c r="AJL139" s="85"/>
      <c r="AJM139" s="85"/>
      <c r="AJN139" s="85"/>
      <c r="AJO139" s="85"/>
      <c r="AJP139" s="85"/>
      <c r="AJQ139" s="85"/>
      <c r="AJR139" s="85"/>
      <c r="AJS139" s="85"/>
      <c r="AJT139" s="85"/>
      <c r="AJU139" s="85"/>
      <c r="AJV139" s="85"/>
      <c r="AJW139" s="85"/>
      <c r="AJX139" s="85"/>
      <c r="AJY139" s="85"/>
      <c r="AJZ139" s="85"/>
      <c r="AKA139" s="85"/>
      <c r="AKB139" s="85"/>
      <c r="AKC139" s="85"/>
      <c r="AKD139" s="85"/>
      <c r="AKE139" s="85"/>
      <c r="AKF139" s="85"/>
      <c r="AKG139" s="85"/>
      <c r="AKH139" s="85"/>
      <c r="AKI139" s="85"/>
      <c r="AKJ139" s="85"/>
      <c r="AKK139" s="85"/>
      <c r="AKL139" s="85"/>
      <c r="AKM139" s="85"/>
      <c r="AKN139" s="85"/>
      <c r="AKO139" s="85"/>
      <c r="AKP139" s="85"/>
      <c r="AKQ139" s="85"/>
      <c r="AKR139" s="85"/>
      <c r="AKS139" s="85"/>
      <c r="AKT139" s="85"/>
      <c r="AKU139" s="85"/>
      <c r="AKV139" s="85"/>
      <c r="AKW139" s="85"/>
      <c r="AKX139" s="85"/>
    </row>
    <row r="140" customFormat="false" ht="18.75" hidden="false" customHeight="true" outlineLevel="0" collapsed="false">
      <c r="B140" s="69"/>
      <c r="C140" s="69"/>
      <c r="D140" s="69"/>
      <c r="E140" s="69"/>
      <c r="F140" s="69"/>
      <c r="G140" s="69"/>
      <c r="H140" s="69"/>
      <c r="I140" s="69"/>
      <c r="J140" s="86"/>
      <c r="K140" s="86"/>
      <c r="L140" s="87"/>
      <c r="M140" s="86"/>
      <c r="N140" s="69"/>
      <c r="O140" s="69"/>
      <c r="P140" s="69"/>
    </row>
    <row r="141" customFormat="false" ht="13.3" hidden="false" customHeight="true" outlineLevel="0" collapsed="false">
      <c r="B141" s="40" t="s">
        <v>7</v>
      </c>
      <c r="C141" s="41" t="s">
        <v>8</v>
      </c>
    </row>
    <row r="142" customFormat="false" ht="18.15" hidden="false" customHeight="true" outlineLevel="0" collapsed="false">
      <c r="B142" s="42"/>
      <c r="C142" s="43" t="str">
        <f aca="false">HYPERLINK("https://www.emi-penza.ru/p/6032.3829-01_SO", "6032.3829-01 СЗ")</f>
        <v>6032.3829-01 СЗ</v>
      </c>
      <c r="D142" s="44"/>
      <c r="E142" s="44"/>
      <c r="F142" s="44"/>
      <c r="G142" s="44"/>
      <c r="H142" s="44"/>
      <c r="I142" s="47"/>
      <c r="J142" s="45" t="s">
        <v>10</v>
      </c>
      <c r="K142" s="45" t="str">
        <f aca="false">HYPERLINK("https://pub.fsa.gov.ru/rds/declaration/view/19350073/common", "ЕАЭС N RU Д-RU.РА08.В.20690/24")</f>
        <v>ЕАЭС N RU Д-RU.РА08.В.20690/24</v>
      </c>
      <c r="L142" s="46"/>
      <c r="M142" s="45"/>
      <c r="N142" s="47" t="s">
        <v>11</v>
      </c>
      <c r="O142" s="47" t="s">
        <v>12</v>
      </c>
    </row>
    <row r="143" customFormat="false" ht="13.05" hidden="false" customHeight="true" outlineLevel="0" collapsed="false">
      <c r="B143" s="48"/>
      <c r="C143" s="49" t="str">
        <f aca="false">HYPERLINK("https://www.emi-penza.ru/p/6032.3829-03", "6032.3829-03")</f>
        <v>6032.3829-03</v>
      </c>
      <c r="D143" s="50"/>
      <c r="E143" s="50"/>
      <c r="F143" s="50"/>
      <c r="G143" s="50"/>
      <c r="H143" s="50"/>
      <c r="I143" s="53"/>
      <c r="J143" s="51" t="s">
        <v>10</v>
      </c>
      <c r="K143" s="51" t="str">
        <f aca="false">HYPERLINK("https://pub.fsa.gov.ru/rds/declaration/view/19350073/common", "ЕАЭС N RU Д-RU.РА08.В.20690/24")</f>
        <v>ЕАЭС N RU Д-RU.РА08.В.20690/24</v>
      </c>
      <c r="L143" s="52"/>
      <c r="M143" s="51"/>
      <c r="N143" s="53" t="s">
        <v>11</v>
      </c>
      <c r="O143" s="53" t="s">
        <v>12</v>
      </c>
    </row>
    <row r="144" customFormat="false" ht="12.2" hidden="false" customHeight="true" outlineLevel="0" collapsed="false">
      <c r="B144" s="54"/>
      <c r="C144" s="88"/>
      <c r="D144" s="89"/>
      <c r="E144" s="89"/>
      <c r="F144" s="89"/>
      <c r="G144" s="89"/>
      <c r="H144" s="89"/>
      <c r="I144" s="90"/>
      <c r="J144" s="91"/>
      <c r="K144" s="91"/>
      <c r="L144" s="92"/>
      <c r="M144" s="91"/>
      <c r="N144" s="90"/>
      <c r="O144" s="90"/>
    </row>
    <row r="145" customFormat="false" ht="14.15" hidden="false" customHeight="true" outlineLevel="0" collapsed="false">
      <c r="B145" s="54"/>
      <c r="C145" s="55"/>
      <c r="D145" s="56"/>
      <c r="E145" s="56"/>
      <c r="F145" s="56"/>
      <c r="G145" s="56"/>
      <c r="H145" s="56"/>
      <c r="I145" s="59"/>
      <c r="J145" s="57"/>
      <c r="K145" s="57"/>
      <c r="L145" s="58"/>
      <c r="M145" s="57"/>
      <c r="N145" s="59"/>
      <c r="O145" s="59"/>
    </row>
    <row r="146" customFormat="false" ht="18.15" hidden="false" customHeight="true" outlineLevel="0" collapsed="false">
      <c r="B146" s="42"/>
      <c r="C146" s="43" t="str">
        <f aca="false">HYPERLINK("https://www.emi-penza.ru/p/6032.3829-03_SO", "6032.3829-03 СЗ")</f>
        <v>6032.3829-03 СЗ</v>
      </c>
      <c r="D146" s="44"/>
      <c r="E146" s="44"/>
      <c r="F146" s="44"/>
      <c r="G146" s="44"/>
      <c r="H146" s="44"/>
      <c r="I146" s="47"/>
      <c r="J146" s="45" t="s">
        <v>10</v>
      </c>
      <c r="K146" s="45" t="str">
        <f aca="false">HYPERLINK("https://pub.fsa.gov.ru/rds/declaration/view/19350073/common", "ЕАЭС N RU Д-RU.РА08.В.20690/24")</f>
        <v>ЕАЭС N RU Д-RU.РА08.В.20690/24</v>
      </c>
      <c r="L146" s="46"/>
      <c r="M146" s="45"/>
      <c r="N146" s="47" t="s">
        <v>11</v>
      </c>
      <c r="O146" s="47" t="s">
        <v>12</v>
      </c>
    </row>
    <row r="147" customFormat="false" ht="13.05" hidden="false" customHeight="true" outlineLevel="0" collapsed="false">
      <c r="B147" s="48"/>
      <c r="C147" s="49" t="str">
        <f aca="false">HYPERLINK("https://www.emi-penza.ru/p/6042.3829-01", "6042.3829-01")</f>
        <v>6042.3829-01</v>
      </c>
      <c r="D147" s="50"/>
      <c r="E147" s="50"/>
      <c r="F147" s="50"/>
      <c r="G147" s="50"/>
      <c r="H147" s="50"/>
      <c r="I147" s="53"/>
      <c r="J147" s="51" t="s">
        <v>10</v>
      </c>
      <c r="K147" s="51" t="str">
        <f aca="false">HYPERLINK("https://pub.fsa.gov.ru/rds/declaration/view/19350073/common", "ЕАЭС N RU Д-RU.РА08.В.20690/24")</f>
        <v>ЕАЭС N RU Д-RU.РА08.В.20690/24</v>
      </c>
      <c r="L147" s="52"/>
      <c r="M147" s="51"/>
      <c r="N147" s="53" t="s">
        <v>11</v>
      </c>
      <c r="O147" s="53" t="s">
        <v>12</v>
      </c>
    </row>
    <row r="148" customFormat="false" ht="12.2" hidden="false" customHeight="true" outlineLevel="0" collapsed="false">
      <c r="B148" s="54"/>
      <c r="C148" s="88"/>
      <c r="D148" s="89"/>
      <c r="E148" s="89"/>
      <c r="F148" s="89"/>
      <c r="G148" s="89"/>
      <c r="H148" s="89"/>
      <c r="I148" s="90"/>
      <c r="J148" s="91"/>
      <c r="K148" s="91"/>
      <c r="L148" s="92"/>
      <c r="M148" s="91"/>
      <c r="N148" s="90"/>
      <c r="O148" s="90"/>
    </row>
    <row r="149" customFormat="false" ht="14.15" hidden="false" customHeight="true" outlineLevel="0" collapsed="false">
      <c r="B149" s="54"/>
      <c r="C149" s="55"/>
      <c r="D149" s="56"/>
      <c r="E149" s="56"/>
      <c r="F149" s="56"/>
      <c r="G149" s="56"/>
      <c r="H149" s="56"/>
      <c r="I149" s="59"/>
      <c r="J149" s="57"/>
      <c r="K149" s="57"/>
      <c r="L149" s="58"/>
      <c r="M149" s="57"/>
      <c r="N149" s="59"/>
      <c r="O149" s="59"/>
    </row>
    <row r="150" customFormat="false" ht="13.05" hidden="false" customHeight="true" outlineLevel="0" collapsed="false">
      <c r="B150" s="48"/>
      <c r="C150" s="49" t="str">
        <f aca="false">HYPERLINK("https://www.emi-penza.ru/p/6042.3829-03", "6042.3829-03")</f>
        <v>6042.3829-03</v>
      </c>
      <c r="D150" s="50"/>
      <c r="E150" s="50"/>
      <c r="F150" s="50"/>
      <c r="G150" s="50"/>
      <c r="H150" s="50"/>
      <c r="I150" s="53"/>
      <c r="J150" s="51" t="s">
        <v>10</v>
      </c>
      <c r="K150" s="51" t="str">
        <f aca="false">HYPERLINK("https://pub.fsa.gov.ru/rds/declaration/view/19350073/common", "ЕАЭС N RU Д-RU.РА08.В.20690/24")</f>
        <v>ЕАЭС N RU Д-RU.РА08.В.20690/24</v>
      </c>
      <c r="L150" s="52"/>
      <c r="M150" s="51"/>
      <c r="N150" s="53" t="s">
        <v>11</v>
      </c>
      <c r="O150" s="53" t="s">
        <v>12</v>
      </c>
    </row>
    <row r="151" customFormat="false" ht="12.2" hidden="false" customHeight="true" outlineLevel="0" collapsed="false">
      <c r="B151" s="54"/>
      <c r="C151" s="88"/>
      <c r="D151" s="89"/>
      <c r="E151" s="89"/>
      <c r="F151" s="89"/>
      <c r="G151" s="89"/>
      <c r="H151" s="89"/>
      <c r="I151" s="90"/>
      <c r="J151" s="91"/>
      <c r="K151" s="91"/>
      <c r="L151" s="92"/>
      <c r="M151" s="91"/>
      <c r="N151" s="90"/>
      <c r="O151" s="90"/>
    </row>
    <row r="152" customFormat="false" ht="14.15" hidden="false" customHeight="true" outlineLevel="0" collapsed="false">
      <c r="B152" s="54"/>
      <c r="C152" s="55"/>
      <c r="D152" s="56"/>
      <c r="E152" s="56"/>
      <c r="F152" s="56"/>
      <c r="G152" s="56"/>
      <c r="H152" s="56"/>
      <c r="I152" s="59"/>
      <c r="J152" s="57"/>
      <c r="K152" s="57"/>
      <c r="L152" s="58"/>
      <c r="M152" s="57"/>
      <c r="N152" s="59"/>
      <c r="O152" s="59"/>
    </row>
    <row r="153" customFormat="false" ht="13.05" hidden="false" customHeight="true" outlineLevel="0" collapsed="false">
      <c r="B153" s="48"/>
      <c r="C153" s="49" t="str">
        <f aca="false">HYPERLINK("https://www.emi-penza.ru/p/6052.3829-01 (22)", "6052.3829-01 (22)")</f>
        <v>6052.3829-01 (22)</v>
      </c>
      <c r="D153" s="50"/>
      <c r="E153" s="50"/>
      <c r="F153" s="50"/>
      <c r="G153" s="50"/>
      <c r="H153" s="50"/>
      <c r="I153" s="53"/>
      <c r="J153" s="51" t="s">
        <v>10</v>
      </c>
      <c r="K153" s="51" t="str">
        <f aca="false">HYPERLINK("https://pub.fsa.gov.ru/rds/declaration/view/19350073/common", "ЕАЭС N RU Д-RU.РА08.В.20690/24")</f>
        <v>ЕАЭС N RU Д-RU.РА08.В.20690/24</v>
      </c>
      <c r="L153" s="52"/>
      <c r="M153" s="51"/>
      <c r="N153" s="53" t="s">
        <v>11</v>
      </c>
      <c r="O153" s="53" t="s">
        <v>12</v>
      </c>
    </row>
    <row r="154" customFormat="false" ht="14.15" hidden="false" customHeight="true" outlineLevel="0" collapsed="false">
      <c r="B154" s="54"/>
      <c r="C154" s="55"/>
      <c r="D154" s="56"/>
      <c r="E154" s="56"/>
      <c r="F154" s="56"/>
      <c r="G154" s="56"/>
      <c r="H154" s="56"/>
      <c r="I154" s="59"/>
      <c r="J154" s="57"/>
      <c r="K154" s="57"/>
      <c r="L154" s="58"/>
      <c r="M154" s="57"/>
      <c r="N154" s="59"/>
      <c r="O154" s="59"/>
    </row>
    <row r="155" customFormat="false" ht="13.05" hidden="false" customHeight="true" outlineLevel="0" collapsed="false">
      <c r="B155" s="42"/>
      <c r="C155" s="49" t="str">
        <f aca="false">HYPERLINK("https://www.emi-penza.ru/p/6052.3829-04", "6052.3829-04")</f>
        <v>6052.3829-04</v>
      </c>
      <c r="D155" s="50"/>
      <c r="E155" s="50"/>
      <c r="F155" s="50"/>
      <c r="G155" s="50"/>
      <c r="H155" s="50"/>
      <c r="I155" s="53"/>
      <c r="J155" s="51" t="s">
        <v>10</v>
      </c>
      <c r="K155" s="51" t="str">
        <f aca="false">HYPERLINK("https://pub.fsa.gov.ru/rds/declaration/view/19350073/common", "ЕАЭС N RU Д-RU.РА08.В.20690/24")</f>
        <v>ЕАЭС N RU Д-RU.РА08.В.20690/24</v>
      </c>
      <c r="L155" s="52"/>
      <c r="M155" s="51"/>
      <c r="N155" s="53" t="s">
        <v>11</v>
      </c>
      <c r="O155" s="53" t="s">
        <v>12</v>
      </c>
    </row>
    <row r="156" customFormat="false" ht="12.2" hidden="false" customHeight="true" outlineLevel="0" collapsed="false">
      <c r="B156" s="54"/>
      <c r="C156" s="88"/>
      <c r="D156" s="89"/>
      <c r="E156" s="89"/>
      <c r="F156" s="89"/>
      <c r="G156" s="89"/>
      <c r="H156" s="89"/>
      <c r="I156" s="90"/>
      <c r="J156" s="91"/>
      <c r="K156" s="91"/>
      <c r="L156" s="92"/>
      <c r="M156" s="91"/>
      <c r="N156" s="90"/>
      <c r="O156" s="90"/>
    </row>
    <row r="157" customFormat="false" ht="14.15" hidden="false" customHeight="true" outlineLevel="0" collapsed="false">
      <c r="B157" s="54"/>
      <c r="C157" s="55"/>
      <c r="D157" s="56"/>
      <c r="E157" s="56"/>
      <c r="F157" s="56"/>
      <c r="G157" s="56"/>
      <c r="H157" s="56"/>
      <c r="I157" s="59"/>
      <c r="J157" s="57"/>
      <c r="K157" s="57"/>
      <c r="L157" s="58"/>
      <c r="M157" s="57"/>
      <c r="N157" s="59"/>
      <c r="O157" s="59"/>
    </row>
    <row r="158" customFormat="false" ht="13.05" hidden="false" customHeight="true" outlineLevel="0" collapsed="false">
      <c r="B158" s="48"/>
      <c r="C158" s="49" t="str">
        <f aca="false">HYPERLINK("https://www.emi-penza.ru/p/6072.3829-01", "6072.3829-01")</f>
        <v>6072.3829-01</v>
      </c>
      <c r="D158" s="50"/>
      <c r="E158" s="50"/>
      <c r="F158" s="50"/>
      <c r="G158" s="50"/>
      <c r="H158" s="50"/>
      <c r="I158" s="53"/>
      <c r="J158" s="51" t="s">
        <v>10</v>
      </c>
      <c r="K158" s="51" t="str">
        <f aca="false">HYPERLINK("https://pub.fsa.gov.ru/rds/declaration/view/19350073/common", "ЕАЭС N RU Д-RU.РА08.В.20690/24")</f>
        <v>ЕАЭС N RU Д-RU.РА08.В.20690/24</v>
      </c>
      <c r="L158" s="52"/>
      <c r="M158" s="51"/>
      <c r="N158" s="53" t="s">
        <v>11</v>
      </c>
      <c r="O158" s="53" t="s">
        <v>12</v>
      </c>
    </row>
    <row r="159" customFormat="false" ht="12.2" hidden="false" customHeight="true" outlineLevel="0" collapsed="false">
      <c r="B159" s="54"/>
      <c r="C159" s="88"/>
      <c r="D159" s="89"/>
      <c r="E159" s="89"/>
      <c r="F159" s="89"/>
      <c r="G159" s="89"/>
      <c r="H159" s="89"/>
      <c r="I159" s="90"/>
      <c r="J159" s="91"/>
      <c r="K159" s="91"/>
      <c r="L159" s="92"/>
      <c r="M159" s="91"/>
      <c r="N159" s="90"/>
      <c r="O159" s="90"/>
    </row>
    <row r="160" customFormat="false" ht="14.15" hidden="false" customHeight="true" outlineLevel="0" collapsed="false">
      <c r="B160" s="54"/>
      <c r="C160" s="55"/>
      <c r="D160" s="56"/>
      <c r="E160" s="56"/>
      <c r="F160" s="56"/>
      <c r="G160" s="56"/>
      <c r="H160" s="56"/>
      <c r="I160" s="59"/>
      <c r="J160" s="57"/>
      <c r="K160" s="57"/>
      <c r="L160" s="58"/>
      <c r="M160" s="57"/>
      <c r="N160" s="59"/>
      <c r="O160" s="59"/>
    </row>
    <row r="161" customFormat="false" ht="13.05" hidden="false" customHeight="true" outlineLevel="0" collapsed="false">
      <c r="B161" s="42"/>
      <c r="C161" s="49" t="str">
        <f aca="false">HYPERLINK("https://www.emi-penza.ru/p/6072.3829-01_SO_K18", "6072.3829-01 СЗ К1/8")</f>
        <v>6072.3829-01 СЗ К1/8</v>
      </c>
      <c r="D161" s="50"/>
      <c r="E161" s="50"/>
      <c r="F161" s="50"/>
      <c r="G161" s="50"/>
      <c r="H161" s="50"/>
      <c r="I161" s="53"/>
      <c r="J161" s="51" t="s">
        <v>10</v>
      </c>
      <c r="K161" s="51" t="str">
        <f aca="false">HYPERLINK("https://pub.fsa.gov.ru/rds/declaration/view/19350073/common", "ЕАЭС N RU Д-RU.РА08.В.20690/24")</f>
        <v>ЕАЭС N RU Д-RU.РА08.В.20690/24</v>
      </c>
      <c r="L161" s="52"/>
      <c r="M161" s="51"/>
      <c r="N161" s="53" t="s">
        <v>11</v>
      </c>
      <c r="O161" s="53" t="s">
        <v>12</v>
      </c>
    </row>
    <row r="162" customFormat="false" ht="14.15" hidden="false" customHeight="true" outlineLevel="0" collapsed="false">
      <c r="B162" s="54"/>
      <c r="C162" s="55"/>
      <c r="D162" s="56"/>
      <c r="E162" s="56"/>
      <c r="F162" s="56"/>
      <c r="G162" s="56"/>
      <c r="H162" s="56"/>
      <c r="I162" s="59"/>
      <c r="J162" s="57"/>
      <c r="K162" s="57"/>
      <c r="L162" s="58"/>
      <c r="M162" s="57"/>
      <c r="N162" s="59"/>
      <c r="O162" s="59"/>
    </row>
    <row r="163" customFormat="false" ht="13.05" hidden="false" customHeight="true" outlineLevel="0" collapsed="false">
      <c r="B163" s="48"/>
      <c r="C163" s="49" t="str">
        <f aca="false">HYPERLINK("https://www.emi-penza.ru/p/6072.3829-07", "6072.3829-07")</f>
        <v>6072.3829-07</v>
      </c>
      <c r="D163" s="50"/>
      <c r="E163" s="50"/>
      <c r="F163" s="50"/>
      <c r="G163" s="50"/>
      <c r="H163" s="50"/>
      <c r="I163" s="53"/>
      <c r="J163" s="51" t="s">
        <v>10</v>
      </c>
      <c r="K163" s="51" t="str">
        <f aca="false">HYPERLINK("https://pub.fsa.gov.ru/rds/declaration/view/19350073/common", "ЕАЭС N RU Д-RU.РА08.В.20690/24")</f>
        <v>ЕАЭС N RU Д-RU.РА08.В.20690/24</v>
      </c>
      <c r="L163" s="52"/>
      <c r="M163" s="51"/>
      <c r="N163" s="53" t="s">
        <v>11</v>
      </c>
      <c r="O163" s="53" t="s">
        <v>12</v>
      </c>
    </row>
    <row r="164" customFormat="false" ht="12.2" hidden="false" customHeight="true" outlineLevel="0" collapsed="false">
      <c r="B164" s="3"/>
      <c r="C164" s="88"/>
      <c r="D164" s="89"/>
      <c r="E164" s="89"/>
      <c r="F164" s="89"/>
      <c r="G164" s="89"/>
      <c r="H164" s="89"/>
      <c r="I164" s="90"/>
      <c r="J164" s="91"/>
      <c r="K164" s="91"/>
      <c r="L164" s="92"/>
      <c r="M164" s="91"/>
      <c r="N164" s="90"/>
      <c r="O164" s="90"/>
    </row>
    <row r="165" customFormat="false" ht="14.15" hidden="false" customHeight="true" outlineLevel="0" collapsed="false">
      <c r="B165" s="54"/>
      <c r="C165" s="55"/>
      <c r="D165" s="56"/>
      <c r="E165" s="56"/>
      <c r="F165" s="56"/>
      <c r="G165" s="56"/>
      <c r="H165" s="56"/>
      <c r="I165" s="59"/>
      <c r="J165" s="57"/>
      <c r="K165" s="57"/>
      <c r="L165" s="58"/>
      <c r="M165" s="57"/>
      <c r="N165" s="59"/>
      <c r="O165" s="59"/>
    </row>
    <row r="166" customFormat="false" ht="13.05" hidden="false" customHeight="true" outlineLevel="0" collapsed="false">
      <c r="B166" s="48"/>
      <c r="C166" s="49" t="str">
        <f aca="false">HYPERLINK("https://www.emi-penza.ru/p/6072.3829-08", "6072.3829-08")</f>
        <v>6072.3829-08</v>
      </c>
      <c r="D166" s="50"/>
      <c r="E166" s="50"/>
      <c r="F166" s="50"/>
      <c r="G166" s="50"/>
      <c r="H166" s="50"/>
      <c r="I166" s="53"/>
      <c r="J166" s="51" t="s">
        <v>10</v>
      </c>
      <c r="K166" s="51" t="str">
        <f aca="false">HYPERLINK("https://pub.fsa.gov.ru/rds/declaration/view/19350073/common", "ЕАЭС N RU Д-RU.РА08.В.20690/24")</f>
        <v>ЕАЭС N RU Д-RU.РА08.В.20690/24</v>
      </c>
      <c r="L166" s="52"/>
      <c r="M166" s="51"/>
      <c r="N166" s="53" t="s">
        <v>11</v>
      </c>
      <c r="O166" s="53" t="s">
        <v>12</v>
      </c>
    </row>
    <row r="167" customFormat="false" ht="12.2" hidden="false" customHeight="true" outlineLevel="0" collapsed="false">
      <c r="B167" s="3"/>
      <c r="C167" s="88"/>
      <c r="D167" s="89"/>
      <c r="E167" s="89"/>
      <c r="F167" s="89"/>
      <c r="G167" s="89"/>
      <c r="H167" s="89"/>
      <c r="I167" s="90"/>
      <c r="J167" s="91"/>
      <c r="K167" s="91"/>
      <c r="L167" s="92"/>
      <c r="M167" s="91"/>
      <c r="N167" s="90"/>
      <c r="O167" s="90"/>
    </row>
    <row r="168" customFormat="false" ht="14.15" hidden="false" customHeight="true" outlineLevel="0" collapsed="false">
      <c r="B168" s="54"/>
      <c r="C168" s="55"/>
      <c r="D168" s="56"/>
      <c r="E168" s="56"/>
      <c r="F168" s="56"/>
      <c r="G168" s="56"/>
      <c r="H168" s="56"/>
      <c r="I168" s="59"/>
      <c r="J168" s="57"/>
      <c r="K168" s="57"/>
      <c r="L168" s="58"/>
      <c r="M168" s="57"/>
      <c r="N168" s="59"/>
      <c r="O168" s="59"/>
    </row>
    <row r="169" customFormat="false" ht="18.15" hidden="false" customHeight="true" outlineLevel="0" collapsed="false">
      <c r="B169" s="42" t="s">
        <v>7</v>
      </c>
      <c r="C169" s="88" t="str">
        <f aca="false">HYPERLINK("https://www.emi-penza.ru/p/6072.3829-09", "6072.3829-09")</f>
        <v>6072.3829-09</v>
      </c>
      <c r="D169" s="89"/>
      <c r="E169" s="89"/>
      <c r="F169" s="89"/>
      <c r="G169" s="89"/>
      <c r="H169" s="89"/>
      <c r="I169" s="90"/>
      <c r="J169" s="91" t="s">
        <v>10</v>
      </c>
      <c r="K169" s="91" t="str">
        <f aca="false">HYPERLINK("https://pub.fsa.gov.ru/rds/declaration/view/19350073/common", "ЕАЭС N RU Д-RU.РА08.В.20690/24")</f>
        <v>ЕАЭС N RU Д-RU.РА08.В.20690/24</v>
      </c>
      <c r="L169" s="92"/>
      <c r="M169" s="91"/>
      <c r="N169" s="90" t="s">
        <v>11</v>
      </c>
      <c r="O169" s="90" t="s">
        <v>12</v>
      </c>
    </row>
    <row r="170" customFormat="false" ht="28.35" hidden="false" customHeight="true" outlineLevel="0" collapsed="false">
      <c r="B170" s="74"/>
      <c r="C170" s="70"/>
      <c r="D170" s="71"/>
      <c r="E170" s="71"/>
      <c r="F170" s="71"/>
      <c r="G170" s="71"/>
      <c r="H170" s="71"/>
      <c r="I170" s="74"/>
      <c r="J170" s="73"/>
      <c r="K170" s="73"/>
      <c r="L170" s="72"/>
      <c r="M170" s="73"/>
      <c r="N170" s="74"/>
      <c r="O170" s="74"/>
    </row>
    <row r="171" customFormat="false" ht="18.15" hidden="false" customHeight="true" outlineLevel="0" collapsed="false">
      <c r="B171" s="42"/>
      <c r="C171" s="43" t="str">
        <f aca="false">HYPERLINK("https://www.emi-penza.ru/p/1302.3768_SO_M16_rod_18_mm", "1302.3768 СЗ М16 шток 18 мм")</f>
        <v>1302.3768 СЗ М16 шток 18 мм</v>
      </c>
      <c r="D171" s="44"/>
      <c r="E171" s="44"/>
      <c r="F171" s="44"/>
      <c r="G171" s="44"/>
      <c r="H171" s="44"/>
      <c r="I171" s="47"/>
      <c r="J171" s="45" t="s">
        <v>68</v>
      </c>
      <c r="K171" s="45" t="str">
        <f aca="false">HYPERLINK("https://pub.fsa.gov.ru/rds/declaration/view/18758351/common", "ЕАЭС N RU Д-RU.РА03.В.05938/24")</f>
        <v>ЕАЭС N RU Д-RU.РА03.В.05938/24</v>
      </c>
      <c r="L171" s="46"/>
      <c r="M171" s="45"/>
      <c r="N171" s="47" t="s">
        <v>69</v>
      </c>
      <c r="O171" s="47" t="s">
        <v>70</v>
      </c>
    </row>
    <row r="172" customFormat="false" ht="18.15" hidden="false" customHeight="true" outlineLevel="0" collapsed="false">
      <c r="B172" s="42" t="s">
        <v>7</v>
      </c>
      <c r="C172" s="43" t="str">
        <f aca="false">HYPERLINK("https://www.emi-penza.ru/p/1332.3768-01_SO", "1332.3768-01 СЗ")</f>
        <v>1332.3768-01 СЗ</v>
      </c>
      <c r="D172" s="44"/>
      <c r="E172" s="44"/>
      <c r="F172" s="44"/>
      <c r="G172" s="44"/>
      <c r="H172" s="44"/>
      <c r="I172" s="47"/>
      <c r="J172" s="45" t="s">
        <v>68</v>
      </c>
      <c r="K172" s="45" t="str">
        <f aca="false">HYPERLINK("https://pub.fsa.gov.ru/rds/declaration/view/18758351/common", "ЕАЭС N RU Д-RU.РА03.В.05938/24")</f>
        <v>ЕАЭС N RU Д-RU.РА03.В.05938/24</v>
      </c>
      <c r="L172" s="46"/>
      <c r="M172" s="45"/>
      <c r="N172" s="47" t="s">
        <v>69</v>
      </c>
      <c r="O172" s="47" t="s">
        <v>70</v>
      </c>
    </row>
    <row r="173" customFormat="false" ht="18.15" hidden="false" customHeight="true" outlineLevel="0" collapsed="false">
      <c r="B173" s="42" t="s">
        <v>7</v>
      </c>
      <c r="C173" s="43" t="str">
        <f aca="false">HYPERLINK("https://www.emi-penza.ru/p/1332.3768-04", "1332.3768-04")</f>
        <v>1332.3768-04</v>
      </c>
      <c r="D173" s="44"/>
      <c r="E173" s="44"/>
      <c r="F173" s="44"/>
      <c r="G173" s="44"/>
      <c r="H173" s="44"/>
      <c r="I173" s="47"/>
      <c r="J173" s="45" t="s">
        <v>68</v>
      </c>
      <c r="K173" s="45" t="str">
        <f aca="false">HYPERLINK("https://pub.fsa.gov.ru/rds/declaration/view/18758351/common", "ЕАЭС N RU Д-RU.РА03.В.05938/24")</f>
        <v>ЕАЭС N RU Д-RU.РА03.В.05938/24</v>
      </c>
      <c r="L173" s="46"/>
      <c r="M173" s="45"/>
      <c r="N173" s="47" t="s">
        <v>69</v>
      </c>
      <c r="O173" s="47" t="s">
        <v>70</v>
      </c>
    </row>
    <row r="174" customFormat="false" ht="18.15" hidden="false" customHeight="true" outlineLevel="0" collapsed="false">
      <c r="B174" s="42" t="s">
        <v>7</v>
      </c>
      <c r="C174" s="43" t="str">
        <f aca="false">HYPERLINK("https://www.emi-penza.ru/p/1332.3768-05_SO", "1332.3768-05 СЗ")</f>
        <v>1332.3768-05 СЗ</v>
      </c>
      <c r="D174" s="44"/>
      <c r="E174" s="44"/>
      <c r="F174" s="44"/>
      <c r="G174" s="44"/>
      <c r="H174" s="44"/>
      <c r="I174" s="47"/>
      <c r="J174" s="45" t="s">
        <v>68</v>
      </c>
      <c r="K174" s="45" t="str">
        <f aca="false">HYPERLINK("https://pub.fsa.gov.ru/rds/declaration/view/18758351/common", "ЕАЭС N RU Д-RU.РА03.В.05938/24")</f>
        <v>ЕАЭС N RU Д-RU.РА03.В.05938/24</v>
      </c>
      <c r="L174" s="46"/>
      <c r="M174" s="45"/>
      <c r="N174" s="47" t="s">
        <v>69</v>
      </c>
      <c r="O174" s="47" t="s">
        <v>70</v>
      </c>
    </row>
    <row r="175" customFormat="false" ht="18.15" hidden="false" customHeight="true" outlineLevel="0" collapsed="false">
      <c r="B175" s="42"/>
      <c r="C175" s="43" t="str">
        <f aca="false">HYPERLINK("https://www.emi-penza.ru/p/1352.3768-01_SO", "1352.3768-01 СЗ")</f>
        <v>1352.3768-01 СЗ</v>
      </c>
      <c r="D175" s="44"/>
      <c r="E175" s="44"/>
      <c r="F175" s="44"/>
      <c r="G175" s="44"/>
      <c r="H175" s="44"/>
      <c r="I175" s="47"/>
      <c r="J175" s="45" t="s">
        <v>68</v>
      </c>
      <c r="K175" s="45" t="str">
        <f aca="false">HYPERLINK("https://pub.fsa.gov.ru/rds/declaration/view/18758351/common", "ЕАЭС N RU Д-RU.РА03.В.05938/24")</f>
        <v>ЕАЭС N RU Д-RU.РА03.В.05938/24</v>
      </c>
      <c r="L175" s="46"/>
      <c r="M175" s="45"/>
      <c r="N175" s="47" t="s">
        <v>69</v>
      </c>
      <c r="O175" s="47" t="s">
        <v>70</v>
      </c>
    </row>
    <row r="176" customFormat="false" ht="18.15" hidden="false" customHeight="true" outlineLevel="0" collapsed="false">
      <c r="B176" s="42"/>
      <c r="C176" s="43" t="str">
        <f aca="false">HYPERLINK("https://www.emi-penza.ru/p/1352.3768-06_SO", "1352.3768-06 СЗ")</f>
        <v>1352.3768-06 СЗ</v>
      </c>
      <c r="D176" s="44"/>
      <c r="E176" s="44"/>
      <c r="F176" s="44"/>
      <c r="G176" s="44"/>
      <c r="H176" s="44"/>
      <c r="I176" s="47"/>
      <c r="J176" s="45" t="s">
        <v>68</v>
      </c>
      <c r="K176" s="45" t="str">
        <f aca="false">HYPERLINK("https://pub.fsa.gov.ru/rds/declaration/view/18758351/common", "ЕАЭС N RU Д-RU.РА03.В.05938/24")</f>
        <v>ЕАЭС N RU Д-RU.РА03.В.05938/24</v>
      </c>
      <c r="L176" s="46"/>
      <c r="M176" s="45"/>
      <c r="N176" s="47" t="s">
        <v>69</v>
      </c>
      <c r="O176" s="47" t="s">
        <v>70</v>
      </c>
    </row>
    <row r="177" customFormat="false" ht="18.15" hidden="false" customHeight="true" outlineLevel="0" collapsed="false">
      <c r="B177" s="42"/>
      <c r="C177" s="43" t="str">
        <f aca="false">HYPERLINK("https://www.emi-penza.ru/p/1352.3768-06_SO_M14", "1352.3768-06 СЗ М14")</f>
        <v>1352.3768-06 СЗ М14</v>
      </c>
      <c r="D177" s="44"/>
      <c r="E177" s="44"/>
      <c r="F177" s="44"/>
      <c r="G177" s="44"/>
      <c r="H177" s="44"/>
      <c r="I177" s="47"/>
      <c r="J177" s="45" t="s">
        <v>68</v>
      </c>
      <c r="K177" s="45" t="str">
        <f aca="false">HYPERLINK("https://pub.fsa.gov.ru/rds/declaration/view/18758351/common", "ЕАЭС N RU Д-RU.РА03.В.05938/24")</f>
        <v>ЕАЭС N RU Д-RU.РА03.В.05938/24</v>
      </c>
      <c r="L177" s="46"/>
      <c r="M177" s="45"/>
      <c r="N177" s="47" t="s">
        <v>69</v>
      </c>
      <c r="O177" s="47" t="s">
        <v>70</v>
      </c>
    </row>
    <row r="178" customFormat="false" ht="18.15" hidden="false" customHeight="true" outlineLevel="0" collapsed="false">
      <c r="B178" s="42"/>
      <c r="C178" s="43" t="str">
        <f aca="false">HYPERLINK("https://www.emi-penza.ru/p/1352.3768-06_SO_G12", "1352.3768-06 СЗ G1/2")</f>
        <v>1352.3768-06 СЗ G1/2</v>
      </c>
      <c r="D178" s="44"/>
      <c r="E178" s="44"/>
      <c r="F178" s="44"/>
      <c r="G178" s="44"/>
      <c r="H178" s="44"/>
      <c r="I178" s="47"/>
      <c r="J178" s="45" t="s">
        <v>68</v>
      </c>
      <c r="K178" s="45" t="str">
        <f aca="false">HYPERLINK("https://pub.fsa.gov.ru/rds/declaration/view/18758351/common", "ЕАЭС N RU Д-RU.РА03.В.05938/24")</f>
        <v>ЕАЭС N RU Д-RU.РА03.В.05938/24</v>
      </c>
      <c r="L178" s="46"/>
      <c r="M178" s="45"/>
      <c r="N178" s="47" t="s">
        <v>69</v>
      </c>
      <c r="O178" s="47" t="s">
        <v>70</v>
      </c>
    </row>
    <row r="179" customFormat="false" ht="18.15" hidden="false" customHeight="true" outlineLevel="0" collapsed="false">
      <c r="B179" s="42"/>
      <c r="C179" s="43" t="str">
        <f aca="false">HYPERLINK("https://www.emi-penza.ru/p/1352.3768-11", "1352.3768-11")</f>
        <v>1352.3768-11</v>
      </c>
      <c r="D179" s="44"/>
      <c r="E179" s="44"/>
      <c r="F179" s="44"/>
      <c r="G179" s="44"/>
      <c r="H179" s="44"/>
      <c r="I179" s="47"/>
      <c r="J179" s="45" t="s">
        <v>68</v>
      </c>
      <c r="K179" s="45" t="str">
        <f aca="false">HYPERLINK("https://pub.fsa.gov.ru/rds/declaration/view/18758351/common", "ЕАЭС N RU Д-RU.РА03.В.05938/24")</f>
        <v>ЕАЭС N RU Д-RU.РА03.В.05938/24</v>
      </c>
      <c r="L179" s="46"/>
      <c r="M179" s="45"/>
      <c r="N179" s="47" t="s">
        <v>69</v>
      </c>
      <c r="O179" s="47" t="s">
        <v>70</v>
      </c>
    </row>
    <row r="180" customFormat="false" ht="18.15" hidden="false" customHeight="true" outlineLevel="0" collapsed="false">
      <c r="B180" s="75"/>
      <c r="C180" s="76" t="str">
        <f aca="false">HYPERLINK("https://www.emi-penza.ru/p/1352.3768-20_SO", "1352.3768-20 СЗ")</f>
        <v>1352.3768-20 СЗ</v>
      </c>
      <c r="D180" s="77"/>
      <c r="E180" s="77"/>
      <c r="F180" s="77"/>
      <c r="G180" s="77"/>
      <c r="H180" s="77"/>
      <c r="I180" s="79"/>
      <c r="J180" s="78" t="s">
        <v>68</v>
      </c>
      <c r="K180" s="78" t="str">
        <f aca="false">HYPERLINK("https://pub.fsa.gov.ru/rds/declaration/view/18758351/common", "ЕАЭС N RU Д-RU.РА03.В.05938/24")</f>
        <v>ЕАЭС N RU Д-RU.РА03.В.05938/24</v>
      </c>
      <c r="L180" s="77"/>
      <c r="M180" s="78"/>
      <c r="N180" s="79" t="s">
        <v>69</v>
      </c>
      <c r="O180" s="79" t="s">
        <v>70</v>
      </c>
    </row>
    <row r="181" customFormat="false" ht="14.15" hidden="false" customHeight="true" outlineLevel="0" collapsed="false">
      <c r="B181" s="74"/>
      <c r="C181" s="70"/>
      <c r="D181" s="71"/>
      <c r="E181" s="71"/>
      <c r="F181" s="71"/>
      <c r="G181" s="71"/>
      <c r="H181" s="71"/>
      <c r="I181" s="74"/>
      <c r="J181" s="73"/>
      <c r="K181" s="73"/>
      <c r="L181" s="72"/>
      <c r="M181" s="73"/>
      <c r="N181" s="74"/>
      <c r="O181" s="74"/>
    </row>
    <row r="182" customFormat="false" ht="9.95" hidden="false" customHeight="true" outlineLevel="0" collapsed="false">
      <c r="B182" s="74"/>
      <c r="N182" s="3"/>
      <c r="O182" s="3"/>
    </row>
    <row r="183" customFormat="false" ht="22.7" hidden="false" customHeight="true" outlineLevel="0" collapsed="false">
      <c r="B183" s="3"/>
      <c r="C183" s="35" t="s">
        <v>105</v>
      </c>
      <c r="D183" s="36"/>
      <c r="E183" s="36"/>
      <c r="F183" s="36"/>
      <c r="G183" s="36"/>
      <c r="H183" s="36"/>
      <c r="I183" s="36"/>
      <c r="J183" s="37"/>
      <c r="K183" s="37"/>
      <c r="L183" s="38"/>
      <c r="M183" s="37"/>
      <c r="N183" s="80"/>
      <c r="O183" s="80"/>
    </row>
    <row r="184" customFormat="false" ht="2.85" hidden="false" customHeight="true" outlineLevel="0" collapsed="false">
      <c r="B184" s="3"/>
      <c r="N184" s="3"/>
      <c r="O184" s="3"/>
    </row>
    <row r="185" customFormat="false" ht="14.45" hidden="false" customHeight="true" outlineLevel="0" collapsed="false">
      <c r="B185" s="48"/>
      <c r="C185" s="49" t="str">
        <f aca="false">HYPERLINK("https://www.emi-penza.ru/p/21.3772", "21.3772")</f>
        <v>21.3772</v>
      </c>
      <c r="D185" s="50" t="s">
        <v>106</v>
      </c>
      <c r="E185" s="50"/>
      <c r="F185" s="50"/>
      <c r="G185" s="50"/>
      <c r="H185" s="50"/>
      <c r="I185" s="53"/>
      <c r="J185" s="51" t="s">
        <v>107</v>
      </c>
      <c r="K185" s="51" t="str">
        <f aca="false">HYPERLINK("https://pub.fsa.gov.ru/rds/declaration/view/18833441/common", "ЕАЭС N RU Д-RU.РА03.В.77095/24")</f>
        <v>ЕАЭС N RU Д-RU.РА03.В.77095/24</v>
      </c>
      <c r="L185" s="52"/>
      <c r="M185" s="51"/>
      <c r="N185" s="53" t="s">
        <v>108</v>
      </c>
      <c r="O185" s="53" t="s">
        <v>109</v>
      </c>
    </row>
    <row r="186" customFormat="false" ht="14.45" hidden="false" customHeight="true" outlineLevel="0" collapsed="false">
      <c r="B186" s="54"/>
      <c r="C186" s="55"/>
      <c r="D186" s="56" t="s">
        <v>110</v>
      </c>
      <c r="E186" s="56"/>
      <c r="F186" s="56"/>
      <c r="G186" s="56"/>
      <c r="H186" s="56"/>
      <c r="I186" s="59"/>
      <c r="J186" s="57"/>
      <c r="K186" s="57"/>
      <c r="L186" s="58"/>
      <c r="M186" s="57"/>
      <c r="N186" s="59"/>
      <c r="O186" s="59"/>
    </row>
    <row r="187" customFormat="false" ht="14.45" hidden="false" customHeight="true" outlineLevel="0" collapsed="false">
      <c r="B187" s="48"/>
      <c r="C187" s="49" t="str">
        <f aca="false">HYPERLINK("https://www.emi-penza.ru/p/773.3702-01_SU", "773.3702-01 с ЩУ")</f>
        <v>773.3702-01 с ЩУ</v>
      </c>
      <c r="D187" s="1" t="s">
        <v>111</v>
      </c>
      <c r="E187" s="50"/>
      <c r="F187" s="50"/>
      <c r="G187" s="50"/>
      <c r="H187" s="62" t="s">
        <v>112</v>
      </c>
      <c r="I187" s="53"/>
      <c r="J187" s="51"/>
      <c r="K187" s="51"/>
      <c r="L187" s="52"/>
      <c r="M187" s="51"/>
      <c r="N187" s="53"/>
      <c r="O187" s="53"/>
    </row>
    <row r="188" customFormat="false" ht="14.45" hidden="false" customHeight="true" outlineLevel="0" collapsed="false">
      <c r="B188" s="54"/>
      <c r="C188" s="55"/>
      <c r="D188" s="93" t="s">
        <v>113</v>
      </c>
      <c r="E188" s="56"/>
      <c r="F188" s="56"/>
      <c r="G188" s="56"/>
      <c r="H188" s="61" t="s">
        <v>114</v>
      </c>
      <c r="I188" s="59"/>
      <c r="J188" s="57"/>
      <c r="K188" s="57"/>
      <c r="L188" s="58"/>
      <c r="M188" s="57"/>
      <c r="N188" s="59"/>
      <c r="O188" s="59"/>
    </row>
    <row r="189" customFormat="false" ht="14.45" hidden="false" customHeight="true" outlineLevel="0" collapsed="false">
      <c r="B189" s="48"/>
      <c r="C189" s="49" t="str">
        <f aca="false">HYPERLINK("https://www.emi-penza.ru/p/77.3702-01_SU", "77.3702-01 с ЩУ")</f>
        <v>77.3702-01 с ЩУ</v>
      </c>
      <c r="D189" s="50" t="s">
        <v>115</v>
      </c>
      <c r="E189" s="50"/>
      <c r="F189" s="50"/>
      <c r="G189" s="50"/>
      <c r="H189" s="62" t="s">
        <v>112</v>
      </c>
      <c r="I189" s="53"/>
      <c r="J189" s="51"/>
      <c r="K189" s="51"/>
      <c r="L189" s="52"/>
      <c r="M189" s="51"/>
      <c r="N189" s="53"/>
      <c r="O189" s="53"/>
    </row>
    <row r="190" customFormat="false" ht="14.45" hidden="false" customHeight="true" outlineLevel="0" collapsed="false">
      <c r="B190" s="54"/>
      <c r="C190" s="55"/>
      <c r="D190" s="56" t="s">
        <v>116</v>
      </c>
      <c r="E190" s="56"/>
      <c r="F190" s="56"/>
      <c r="G190" s="56"/>
      <c r="H190" s="61" t="s">
        <v>114</v>
      </c>
      <c r="I190" s="59"/>
      <c r="J190" s="57"/>
      <c r="K190" s="57"/>
      <c r="L190" s="58"/>
      <c r="M190" s="57"/>
      <c r="N190" s="59"/>
      <c r="O190" s="59"/>
    </row>
    <row r="191" customFormat="false" ht="14.45" hidden="false" customHeight="true" outlineLevel="0" collapsed="false">
      <c r="B191" s="54"/>
      <c r="C191" s="49" t="str">
        <f aca="false">HYPERLINK("https://www.emi-penza.ru/p/77.3702", "77.3702")</f>
        <v>77.3702</v>
      </c>
      <c r="D191" s="50" t="s">
        <v>117</v>
      </c>
      <c r="E191" s="50"/>
      <c r="F191" s="50"/>
      <c r="G191" s="50"/>
      <c r="H191" s="50"/>
      <c r="I191" s="53"/>
      <c r="J191" s="51" t="s">
        <v>107</v>
      </c>
      <c r="K191" s="51" t="str">
        <f aca="false">HYPERLINK("https://pub.fsa.gov.ru/rds/declaration/view/18833441/common", "ЕАЭС N RU Д-RU.РА03.В.77095/24")</f>
        <v>ЕАЭС N RU Д-RU.РА03.В.77095/24</v>
      </c>
      <c r="L191" s="52"/>
      <c r="M191" s="51"/>
      <c r="N191" s="53" t="s">
        <v>108</v>
      </c>
      <c r="O191" s="53" t="s">
        <v>109</v>
      </c>
    </row>
    <row r="192" customFormat="false" ht="14.45" hidden="false" customHeight="true" outlineLevel="0" collapsed="false">
      <c r="B192" s="54"/>
      <c r="C192" s="55"/>
      <c r="D192" s="56"/>
      <c r="E192" s="56"/>
      <c r="F192" s="56"/>
      <c r="G192" s="56"/>
      <c r="H192" s="94" t="s">
        <v>118</v>
      </c>
      <c r="I192" s="59"/>
      <c r="J192" s="57"/>
      <c r="K192" s="57"/>
      <c r="L192" s="58"/>
      <c r="M192" s="57"/>
      <c r="N192" s="59"/>
      <c r="O192" s="59"/>
    </row>
    <row r="193" customFormat="false" ht="14.45" hidden="false" customHeight="true" outlineLevel="0" collapsed="false">
      <c r="B193" s="48"/>
      <c r="C193" s="49" t="str">
        <f aca="false">HYPERLINK("https://www.emi-penza.ru/p/77.3702-01", "77.3702-01")</f>
        <v>77.3702-01</v>
      </c>
      <c r="D193" s="50" t="s">
        <v>119</v>
      </c>
      <c r="E193" s="50"/>
      <c r="F193" s="50"/>
      <c r="G193" s="50"/>
      <c r="H193" s="50"/>
      <c r="I193" s="53"/>
      <c r="J193" s="51" t="s">
        <v>107</v>
      </c>
      <c r="K193" s="51" t="str">
        <f aca="false">HYPERLINK("https://pub.fsa.gov.ru/rds/declaration/view/18833441/common", "ЕАЭС N RU Д-RU.РА03.В.77095/24")</f>
        <v>ЕАЭС N RU Д-RU.РА03.В.77095/24</v>
      </c>
      <c r="L193" s="52"/>
      <c r="M193" s="51"/>
      <c r="N193" s="53" t="s">
        <v>108</v>
      </c>
      <c r="O193" s="53" t="s">
        <v>109</v>
      </c>
    </row>
    <row r="194" customFormat="false" ht="14.45" hidden="false" customHeight="true" outlineLevel="0" collapsed="false">
      <c r="B194" s="54"/>
      <c r="C194" s="55"/>
      <c r="D194" s="56" t="s">
        <v>120</v>
      </c>
      <c r="E194" s="56"/>
      <c r="F194" s="56"/>
      <c r="G194" s="56"/>
      <c r="H194" s="94" t="s">
        <v>36</v>
      </c>
      <c r="I194" s="59"/>
      <c r="J194" s="57"/>
      <c r="K194" s="57"/>
      <c r="L194" s="58"/>
      <c r="M194" s="57"/>
      <c r="N194" s="59"/>
      <c r="O194" s="59"/>
    </row>
    <row r="195" customFormat="false" ht="14.45" hidden="false" customHeight="true" outlineLevel="0" collapsed="false">
      <c r="B195" s="48"/>
      <c r="C195" s="49" t="str">
        <f aca="false">HYPERLINK("https://www.emi-penza.ru/p/77.3702-02", "77.3702-02")</f>
        <v>77.3702-02</v>
      </c>
      <c r="D195" s="50" t="s">
        <v>121</v>
      </c>
      <c r="E195" s="50"/>
      <c r="F195" s="50"/>
      <c r="G195" s="50"/>
      <c r="H195" s="50"/>
      <c r="I195" s="53"/>
      <c r="J195" s="51" t="s">
        <v>107</v>
      </c>
      <c r="K195" s="51" t="str">
        <f aca="false">HYPERLINK("https://pub.fsa.gov.ru/rds/declaration/view/18833441/common", "ЕАЭС N RU Д-RU.РА03.В.77095/24")</f>
        <v>ЕАЭС N RU Д-RU.РА03.В.77095/24</v>
      </c>
      <c r="L195" s="52"/>
      <c r="M195" s="51"/>
      <c r="N195" s="53" t="s">
        <v>108</v>
      </c>
      <c r="O195" s="53" t="s">
        <v>109</v>
      </c>
    </row>
    <row r="196" customFormat="false" ht="14.45" hidden="false" customHeight="true" outlineLevel="0" collapsed="false">
      <c r="B196" s="54"/>
      <c r="C196" s="55"/>
      <c r="D196" s="56"/>
      <c r="E196" s="56"/>
      <c r="F196" s="56"/>
      <c r="G196" s="56"/>
      <c r="H196" s="94"/>
      <c r="I196" s="59"/>
      <c r="J196" s="57"/>
      <c r="K196" s="57"/>
      <c r="L196" s="58"/>
      <c r="M196" s="57"/>
      <c r="N196" s="59"/>
      <c r="O196" s="59"/>
    </row>
    <row r="197" customFormat="false" ht="18.15" hidden="false" customHeight="true" outlineLevel="0" collapsed="false">
      <c r="B197" s="42"/>
      <c r="C197" s="43" t="str">
        <f aca="false">HYPERLINK("https://www.emi-penza.ru/p/83.3702", "83.3702")</f>
        <v>83.3702</v>
      </c>
      <c r="D197" s="44" t="s">
        <v>122</v>
      </c>
      <c r="E197" s="44"/>
      <c r="F197" s="44"/>
      <c r="G197" s="44"/>
      <c r="H197" s="44"/>
      <c r="I197" s="47"/>
      <c r="J197" s="45" t="s">
        <v>107</v>
      </c>
      <c r="K197" s="45" t="str">
        <f aca="false">HYPERLINK("https://pub.fsa.gov.ru/rds/declaration/view/18833441/common", "ЕАЭС N RU Д-RU.РА03.В.77095/24")</f>
        <v>ЕАЭС N RU Д-RU.РА03.В.77095/24</v>
      </c>
      <c r="L197" s="46"/>
      <c r="M197" s="45"/>
      <c r="N197" s="47" t="s">
        <v>108</v>
      </c>
      <c r="O197" s="47" t="s">
        <v>109</v>
      </c>
    </row>
    <row r="198" customFormat="false" ht="14.45" hidden="false" customHeight="true" outlineLevel="0" collapsed="false">
      <c r="B198" s="48"/>
      <c r="C198" s="49" t="str">
        <f aca="false">HYPERLINK("https://www.emi-penza.ru/p/91.3702", "91.3702")</f>
        <v>91.3702</v>
      </c>
      <c r="D198" s="50" t="s">
        <v>123</v>
      </c>
      <c r="E198" s="50"/>
      <c r="F198" s="50"/>
      <c r="G198" s="50"/>
      <c r="H198" s="50"/>
      <c r="I198" s="53"/>
      <c r="J198" s="51" t="s">
        <v>107</v>
      </c>
      <c r="K198" s="51" t="str">
        <f aca="false">HYPERLINK("https://pub.fsa.gov.ru/rds/declaration/view/18833441/common", "ЕАЭС N RU Д-RU.РА03.В.77095/24")</f>
        <v>ЕАЭС N RU Д-RU.РА03.В.77095/24</v>
      </c>
      <c r="L198" s="52"/>
      <c r="M198" s="51"/>
      <c r="N198" s="53" t="s">
        <v>108</v>
      </c>
      <c r="O198" s="53" t="s">
        <v>109</v>
      </c>
    </row>
    <row r="199" customFormat="false" ht="14.45" hidden="false" customHeight="true" outlineLevel="0" collapsed="false">
      <c r="B199" s="54"/>
      <c r="C199" s="55"/>
      <c r="D199" s="56"/>
      <c r="E199" s="56"/>
      <c r="F199" s="56"/>
      <c r="G199" s="56"/>
      <c r="H199" s="94" t="s">
        <v>124</v>
      </c>
      <c r="I199" s="59"/>
      <c r="J199" s="57"/>
      <c r="K199" s="57"/>
      <c r="L199" s="58"/>
      <c r="M199" s="57"/>
      <c r="N199" s="59"/>
      <c r="O199" s="59"/>
    </row>
    <row r="200" customFormat="false" ht="14.45" hidden="false" customHeight="true" outlineLevel="0" collapsed="false">
      <c r="B200" s="48"/>
      <c r="C200" s="49" t="str">
        <f aca="false">HYPERLINK("https://www.emi-penza.ru/p/771.3702", "771.3702")</f>
        <v>771.3702</v>
      </c>
      <c r="D200" s="50" t="s">
        <v>125</v>
      </c>
      <c r="E200" s="50"/>
      <c r="F200" s="50"/>
      <c r="G200" s="50"/>
      <c r="H200" s="50"/>
      <c r="I200" s="53"/>
      <c r="J200" s="51" t="s">
        <v>107</v>
      </c>
      <c r="K200" s="51" t="str">
        <f aca="false">HYPERLINK("https://pub.fsa.gov.ru/rds/declaration/view/18833441/common", "ЕАЭС N RU Д-RU.РА03.В.77095/24")</f>
        <v>ЕАЭС N RU Д-RU.РА03.В.77095/24</v>
      </c>
      <c r="L200" s="52"/>
      <c r="M200" s="51"/>
      <c r="N200" s="53" t="s">
        <v>108</v>
      </c>
      <c r="O200" s="53" t="s">
        <v>109</v>
      </c>
    </row>
    <row r="201" customFormat="false" ht="14.45" hidden="false" customHeight="true" outlineLevel="0" collapsed="false">
      <c r="B201" s="54"/>
      <c r="C201" s="55"/>
      <c r="D201" s="56"/>
      <c r="E201" s="56"/>
      <c r="F201" s="56"/>
      <c r="G201" s="56"/>
      <c r="H201" s="94" t="s">
        <v>118</v>
      </c>
      <c r="I201" s="59"/>
      <c r="J201" s="57"/>
      <c r="K201" s="57"/>
      <c r="L201" s="58"/>
      <c r="M201" s="57"/>
      <c r="N201" s="59"/>
      <c r="O201" s="59"/>
    </row>
    <row r="202" customFormat="false" ht="18.15" hidden="false" customHeight="true" outlineLevel="0" collapsed="false">
      <c r="B202" s="42"/>
      <c r="C202" s="43" t="str">
        <f aca="false">HYPERLINK("https://www.emi-penza.ru/p/771.3702-01", "771.3702-01")</f>
        <v>771.3702-01</v>
      </c>
      <c r="D202" s="44" t="s">
        <v>126</v>
      </c>
      <c r="E202" s="44"/>
      <c r="F202" s="44"/>
      <c r="G202" s="44"/>
      <c r="H202" s="44"/>
      <c r="I202" s="47"/>
      <c r="J202" s="45" t="s">
        <v>107</v>
      </c>
      <c r="K202" s="45" t="str">
        <f aca="false">HYPERLINK("https://pub.fsa.gov.ru/rds/declaration/view/18833441/common", "ЕАЭС N RU Д-RU.РА03.В.77095/24")</f>
        <v>ЕАЭС N RU Д-RU.РА03.В.77095/24</v>
      </c>
      <c r="L202" s="46"/>
      <c r="M202" s="45"/>
      <c r="N202" s="47" t="s">
        <v>108</v>
      </c>
      <c r="O202" s="47" t="s">
        <v>109</v>
      </c>
    </row>
    <row r="203" customFormat="false" ht="14.45" hidden="false" customHeight="true" outlineLevel="0" collapsed="false">
      <c r="B203" s="48"/>
      <c r="C203" s="49" t="str">
        <f aca="false">HYPERLINK("https://www.emi-penza.ru/p/772.3702", "772.3702")</f>
        <v>772.3702</v>
      </c>
      <c r="D203" s="50" t="s">
        <v>127</v>
      </c>
      <c r="E203" s="50"/>
      <c r="F203" s="50"/>
      <c r="G203" s="50"/>
      <c r="H203" s="50"/>
      <c r="I203" s="53"/>
      <c r="J203" s="51" t="s">
        <v>107</v>
      </c>
      <c r="K203" s="51" t="str">
        <f aca="false">HYPERLINK("https://pub.fsa.gov.ru/rds/declaration/view/18833441/common", "ЕАЭС N RU Д-RU.РА03.В.77095/24")</f>
        <v>ЕАЭС N RU Д-RU.РА03.В.77095/24</v>
      </c>
      <c r="L203" s="52"/>
      <c r="M203" s="51"/>
      <c r="N203" s="53" t="s">
        <v>108</v>
      </c>
      <c r="O203" s="53" t="s">
        <v>109</v>
      </c>
    </row>
    <row r="204" customFormat="false" ht="14.45" hidden="false" customHeight="true" outlineLevel="0" collapsed="false">
      <c r="B204" s="54"/>
      <c r="C204" s="55"/>
      <c r="D204" s="56"/>
      <c r="E204" s="56"/>
      <c r="F204" s="56"/>
      <c r="G204" s="56"/>
      <c r="H204" s="94" t="s">
        <v>118</v>
      </c>
      <c r="I204" s="59"/>
      <c r="J204" s="57"/>
      <c r="K204" s="57"/>
      <c r="L204" s="58"/>
      <c r="M204" s="57"/>
      <c r="N204" s="59"/>
      <c r="O204" s="59"/>
    </row>
    <row r="205" customFormat="false" ht="14.45" hidden="false" customHeight="true" outlineLevel="0" collapsed="false">
      <c r="B205" s="48"/>
      <c r="C205" s="49" t="str">
        <f aca="false">HYPERLINK("https://www.emi-penza.ru/p/772.3702-02", "772.3702-02")</f>
        <v>772.3702-02</v>
      </c>
      <c r="D205" s="50" t="s">
        <v>128</v>
      </c>
      <c r="E205" s="50"/>
      <c r="F205" s="50"/>
      <c r="G205" s="50"/>
      <c r="H205" s="50"/>
      <c r="I205" s="53"/>
      <c r="J205" s="51" t="s">
        <v>107</v>
      </c>
      <c r="K205" s="51" t="str">
        <f aca="false">HYPERLINK("https://pub.fsa.gov.ru/rds/declaration/view/18833441/common", "ЕАЭС N RU Д-RU.РА03.В.77095/24")</f>
        <v>ЕАЭС N RU Д-RU.РА03.В.77095/24</v>
      </c>
      <c r="L205" s="52"/>
      <c r="M205" s="51"/>
      <c r="N205" s="53" t="s">
        <v>108</v>
      </c>
      <c r="O205" s="53" t="s">
        <v>109</v>
      </c>
    </row>
    <row r="206" customFormat="false" ht="14.45" hidden="false" customHeight="true" outlineLevel="0" collapsed="false">
      <c r="B206" s="54"/>
      <c r="C206" s="55"/>
      <c r="D206" s="56"/>
      <c r="E206" s="56"/>
      <c r="F206" s="56"/>
      <c r="G206" s="56"/>
      <c r="H206" s="94"/>
      <c r="I206" s="59"/>
      <c r="J206" s="57"/>
      <c r="K206" s="57"/>
      <c r="L206" s="58"/>
      <c r="M206" s="57"/>
      <c r="N206" s="59"/>
      <c r="O206" s="59"/>
    </row>
    <row r="207" customFormat="false" ht="14.45" hidden="false" customHeight="true" outlineLevel="0" collapsed="false">
      <c r="B207" s="48"/>
      <c r="C207" s="49" t="str">
        <f aca="false">HYPERLINK("https://www.emi-penza.ru/p/773.3702", "773.3702")</f>
        <v>773.3702</v>
      </c>
      <c r="D207" s="50" t="s">
        <v>129</v>
      </c>
      <c r="E207" s="50"/>
      <c r="F207" s="50"/>
      <c r="G207" s="50"/>
      <c r="H207" s="50"/>
      <c r="I207" s="53"/>
      <c r="J207" s="51" t="s">
        <v>107</v>
      </c>
      <c r="K207" s="51" t="str">
        <f aca="false">HYPERLINK("https://pub.fsa.gov.ru/rds/declaration/view/18833441/common", "ЕАЭС N RU Д-RU.РА03.В.77095/24")</f>
        <v>ЕАЭС N RU Д-RU.РА03.В.77095/24</v>
      </c>
      <c r="L207" s="52"/>
      <c r="M207" s="51"/>
      <c r="N207" s="53" t="s">
        <v>108</v>
      </c>
      <c r="O207" s="53" t="s">
        <v>109</v>
      </c>
    </row>
    <row r="208" customFormat="false" ht="14.45" hidden="false" customHeight="true" outlineLevel="0" collapsed="false">
      <c r="B208" s="54"/>
      <c r="C208" s="55"/>
      <c r="D208" s="56"/>
      <c r="E208" s="56"/>
      <c r="F208" s="56"/>
      <c r="G208" s="56"/>
      <c r="H208" s="94" t="s">
        <v>118</v>
      </c>
      <c r="I208" s="59"/>
      <c r="J208" s="57"/>
      <c r="K208" s="57"/>
      <c r="L208" s="58"/>
      <c r="M208" s="57"/>
      <c r="N208" s="59"/>
      <c r="O208" s="59"/>
    </row>
    <row r="209" customFormat="false" ht="14.45" hidden="false" customHeight="true" outlineLevel="0" collapsed="false">
      <c r="B209" s="48"/>
      <c r="C209" s="49" t="str">
        <f aca="false">HYPERLINK("https://www.emi-penza.ru/p/773.3702-01", "773.3702-01")</f>
        <v>773.3702-01</v>
      </c>
      <c r="D209" s="50" t="s">
        <v>130</v>
      </c>
      <c r="E209" s="50"/>
      <c r="F209" s="50"/>
      <c r="G209" s="50"/>
      <c r="H209" s="50"/>
      <c r="I209" s="53"/>
      <c r="J209" s="51" t="s">
        <v>107</v>
      </c>
      <c r="K209" s="51" t="str">
        <f aca="false">HYPERLINK("https://pub.fsa.gov.ru/rds/declaration/view/18833441/common", "ЕАЭС N RU Д-RU.РА03.В.77095/24")</f>
        <v>ЕАЭС N RU Д-RU.РА03.В.77095/24</v>
      </c>
      <c r="L209" s="52"/>
      <c r="M209" s="51"/>
      <c r="N209" s="53" t="s">
        <v>108</v>
      </c>
      <c r="O209" s="53" t="s">
        <v>109</v>
      </c>
    </row>
    <row r="210" customFormat="false" ht="14.45" hidden="false" customHeight="true" outlineLevel="0" collapsed="false">
      <c r="B210" s="54"/>
      <c r="C210" s="55"/>
      <c r="D210" s="56" t="s">
        <v>131</v>
      </c>
      <c r="E210" s="56"/>
      <c r="F210" s="56"/>
      <c r="G210" s="56"/>
      <c r="H210" s="94" t="s">
        <v>132</v>
      </c>
      <c r="I210" s="59"/>
      <c r="J210" s="57"/>
      <c r="K210" s="57"/>
      <c r="L210" s="58"/>
      <c r="M210" s="57"/>
      <c r="N210" s="59"/>
      <c r="O210" s="59"/>
    </row>
    <row r="211" customFormat="false" ht="14.45" hidden="false" customHeight="true" outlineLevel="0" collapsed="false">
      <c r="B211" s="54"/>
      <c r="C211" s="49" t="str">
        <f aca="false">HYPERLINK("https://www.emi-penza.ru/p/774.3702", "774.3702")</f>
        <v>774.3702</v>
      </c>
      <c r="D211" s="50" t="s">
        <v>133</v>
      </c>
      <c r="E211" s="50"/>
      <c r="F211" s="50"/>
      <c r="G211" s="50"/>
      <c r="H211" s="50"/>
      <c r="I211" s="53"/>
      <c r="J211" s="51" t="s">
        <v>107</v>
      </c>
      <c r="K211" s="51" t="str">
        <f aca="false">HYPERLINK("https://pub.fsa.gov.ru/rds/declaration/view/18833441/common", "ЕАЭС N RU Д-RU.РА03.В.77095/24")</f>
        <v>ЕАЭС N RU Д-RU.РА03.В.77095/24</v>
      </c>
      <c r="L211" s="52"/>
      <c r="M211" s="51"/>
      <c r="N211" s="53" t="s">
        <v>108</v>
      </c>
      <c r="O211" s="53" t="s">
        <v>109</v>
      </c>
    </row>
    <row r="212" customFormat="false" ht="14.45" hidden="false" customHeight="true" outlineLevel="0" collapsed="false">
      <c r="B212" s="54"/>
      <c r="C212" s="55"/>
      <c r="D212" s="56"/>
      <c r="E212" s="56"/>
      <c r="F212" s="56"/>
      <c r="G212" s="56"/>
      <c r="H212" s="56"/>
      <c r="I212" s="59"/>
      <c r="J212" s="57"/>
      <c r="K212" s="57"/>
      <c r="L212" s="58"/>
      <c r="M212" s="57"/>
      <c r="N212" s="59"/>
      <c r="O212" s="59"/>
    </row>
    <row r="213" customFormat="false" ht="14.45" hidden="false" customHeight="true" outlineLevel="0" collapsed="false">
      <c r="B213" s="54"/>
      <c r="C213" s="49" t="str">
        <f aca="false">HYPERLINK("https://www.emi-penza.ru/p/774.3702-01", "774.3702-01")</f>
        <v>774.3702-01</v>
      </c>
      <c r="D213" s="50" t="s">
        <v>133</v>
      </c>
      <c r="E213" s="50"/>
      <c r="F213" s="50"/>
      <c r="G213" s="50"/>
      <c r="H213" s="50"/>
      <c r="I213" s="53"/>
      <c r="J213" s="51" t="s">
        <v>107</v>
      </c>
      <c r="K213" s="51" t="str">
        <f aca="false">HYPERLINK("https://pub.fsa.gov.ru/rds/declaration/view/18833441/common", "ЕАЭС N RU Д-RU.РА03.В.77095/24")</f>
        <v>ЕАЭС N RU Д-RU.РА03.В.77095/24</v>
      </c>
      <c r="L213" s="52"/>
      <c r="M213" s="51"/>
      <c r="N213" s="53" t="s">
        <v>108</v>
      </c>
      <c r="O213" s="53" t="s">
        <v>109</v>
      </c>
    </row>
    <row r="214" customFormat="false" ht="14.45" hidden="false" customHeight="true" outlineLevel="0" collapsed="false">
      <c r="B214" s="54"/>
      <c r="C214" s="55"/>
      <c r="D214" s="56"/>
      <c r="E214" s="56"/>
      <c r="F214" s="56"/>
      <c r="G214" s="56"/>
      <c r="H214" s="94"/>
      <c r="I214" s="59"/>
      <c r="J214" s="57"/>
      <c r="K214" s="57"/>
      <c r="L214" s="58"/>
      <c r="M214" s="57"/>
      <c r="N214" s="59"/>
      <c r="O214" s="59"/>
    </row>
    <row r="215" customFormat="false" ht="18.15" hidden="false" customHeight="true" outlineLevel="0" collapsed="false">
      <c r="B215" s="42"/>
      <c r="C215" s="43" t="str">
        <f aca="false">HYPERLINK("https://www.emi-penza.ru/p/775.3702", "775.3702")</f>
        <v>775.3702</v>
      </c>
      <c r="D215" s="44" t="s">
        <v>134</v>
      </c>
      <c r="E215" s="44"/>
      <c r="F215" s="44"/>
      <c r="G215" s="44"/>
      <c r="H215" s="44"/>
      <c r="I215" s="47"/>
      <c r="J215" s="45" t="s">
        <v>107</v>
      </c>
      <c r="K215" s="45" t="str">
        <f aca="false">HYPERLINK("https://pub.fsa.gov.ru/rds/declaration/view/18833441/common", "ЕАЭС N RU Д-RU.РА03.В.77095/24")</f>
        <v>ЕАЭС N RU Д-RU.РА03.В.77095/24</v>
      </c>
      <c r="L215" s="46"/>
      <c r="M215" s="45"/>
      <c r="N215" s="47" t="s">
        <v>108</v>
      </c>
      <c r="O215" s="47" t="s">
        <v>109</v>
      </c>
    </row>
    <row r="216" customFormat="false" ht="18.15" hidden="false" customHeight="true" outlineLevel="0" collapsed="false">
      <c r="B216" s="42"/>
      <c r="C216" s="43" t="str">
        <f aca="false">HYPERLINK("https://www.emi-penza.ru/p/776.3702", "776.3702")</f>
        <v>776.3702</v>
      </c>
      <c r="D216" s="44" t="s">
        <v>135</v>
      </c>
      <c r="E216" s="44"/>
      <c r="F216" s="44"/>
      <c r="G216" s="44"/>
      <c r="H216" s="44"/>
      <c r="I216" s="47"/>
      <c r="J216" s="45" t="s">
        <v>107</v>
      </c>
      <c r="K216" s="45" t="str">
        <f aca="false">HYPERLINK("https://pub.fsa.gov.ru/rds/declaration/view/18833441/common", "ЕАЭС N RU Д-RU.РА03.В.77095/24")</f>
        <v>ЕАЭС N RU Д-RU.РА03.В.77095/24</v>
      </c>
      <c r="L216" s="46"/>
      <c r="M216" s="45"/>
      <c r="N216" s="47" t="s">
        <v>108</v>
      </c>
      <c r="O216" s="47" t="s">
        <v>109</v>
      </c>
    </row>
    <row r="217" customFormat="false" ht="18.15" hidden="false" customHeight="true" outlineLevel="0" collapsed="false">
      <c r="B217" s="42"/>
      <c r="C217" s="43" t="str">
        <f aca="false">HYPERLINK("https://www.emi-penza.ru/p/777.3702", "777.3702")</f>
        <v>777.3702</v>
      </c>
      <c r="D217" s="44" t="s">
        <v>136</v>
      </c>
      <c r="E217" s="44"/>
      <c r="F217" s="44"/>
      <c r="G217" s="44"/>
      <c r="H217" s="44"/>
      <c r="I217" s="47"/>
      <c r="J217" s="45" t="s">
        <v>107</v>
      </c>
      <c r="K217" s="45" t="str">
        <f aca="false">HYPERLINK("https://pub.fsa.gov.ru/rds/declaration/view/18833441/common", "ЕАЭС N RU Д-RU.РА03.В.77095/24")</f>
        <v>ЕАЭС N RU Д-RU.РА03.В.77095/24</v>
      </c>
      <c r="L217" s="46"/>
      <c r="M217" s="45"/>
      <c r="N217" s="47" t="s">
        <v>108</v>
      </c>
      <c r="O217" s="47" t="s">
        <v>109</v>
      </c>
    </row>
    <row r="218" customFormat="false" ht="14.45" hidden="false" customHeight="true" outlineLevel="0" collapsed="false">
      <c r="B218" s="48"/>
      <c r="C218" s="49" t="str">
        <f aca="false">HYPERLINK("https://www.emi-penza.ru/p/778.3702", "778.3702")</f>
        <v>778.3702</v>
      </c>
      <c r="D218" s="50" t="s">
        <v>137</v>
      </c>
      <c r="E218" s="50"/>
      <c r="F218" s="50"/>
      <c r="G218" s="50"/>
      <c r="H218" s="50"/>
      <c r="I218" s="53"/>
      <c r="J218" s="51" t="s">
        <v>107</v>
      </c>
      <c r="K218" s="51" t="str">
        <f aca="false">HYPERLINK("https://pub.fsa.gov.ru/rds/declaration/view/18833441/common", "ЕАЭС N RU Д-RU.РА03.В.77095/24")</f>
        <v>ЕАЭС N RU Д-RU.РА03.В.77095/24</v>
      </c>
      <c r="L218" s="52"/>
      <c r="M218" s="51"/>
      <c r="N218" s="53" t="s">
        <v>108</v>
      </c>
      <c r="O218" s="53" t="s">
        <v>109</v>
      </c>
    </row>
    <row r="219" customFormat="false" ht="14.45" hidden="false" customHeight="true" outlineLevel="0" collapsed="false">
      <c r="B219" s="54"/>
      <c r="C219" s="55"/>
      <c r="D219" s="56"/>
      <c r="E219" s="56"/>
      <c r="F219" s="56"/>
      <c r="G219" s="56"/>
      <c r="H219" s="94" t="s">
        <v>124</v>
      </c>
      <c r="I219" s="59"/>
      <c r="J219" s="57"/>
      <c r="K219" s="57"/>
      <c r="L219" s="58"/>
      <c r="M219" s="57"/>
      <c r="N219" s="59"/>
      <c r="O219" s="59"/>
    </row>
    <row r="220" customFormat="false" ht="14.45" hidden="false" customHeight="true" outlineLevel="0" collapsed="false">
      <c r="B220" s="48"/>
      <c r="C220" s="49" t="str">
        <f aca="false">HYPERLINK("https://www.emi-penza.ru/p/778.3702-01", "778.3702-01")</f>
        <v>778.3702-01</v>
      </c>
      <c r="D220" s="50" t="s">
        <v>138</v>
      </c>
      <c r="E220" s="50"/>
      <c r="F220" s="50"/>
      <c r="G220" s="50"/>
      <c r="H220" s="50"/>
      <c r="I220" s="53"/>
      <c r="J220" s="51" t="s">
        <v>107</v>
      </c>
      <c r="K220" s="51" t="str">
        <f aca="false">HYPERLINK("https://pub.fsa.gov.ru/rds/declaration/view/18833441/common", "ЕАЭС N RU Д-RU.РА03.В.77095/24")</f>
        <v>ЕАЭС N RU Д-RU.РА03.В.77095/24</v>
      </c>
      <c r="L220" s="52"/>
      <c r="M220" s="51"/>
      <c r="N220" s="53" t="s">
        <v>108</v>
      </c>
      <c r="O220" s="53" t="s">
        <v>109</v>
      </c>
    </row>
    <row r="221" customFormat="false" ht="14.45" hidden="false" customHeight="true" outlineLevel="0" collapsed="false">
      <c r="B221" s="54"/>
      <c r="C221" s="55"/>
      <c r="D221" s="56" t="s">
        <v>139</v>
      </c>
      <c r="E221" s="56"/>
      <c r="F221" s="56"/>
      <c r="G221" s="56"/>
      <c r="H221" s="94" t="s">
        <v>124</v>
      </c>
      <c r="I221" s="59"/>
      <c r="J221" s="57"/>
      <c r="K221" s="57"/>
      <c r="L221" s="58"/>
      <c r="M221" s="57"/>
      <c r="N221" s="59"/>
      <c r="O221" s="59"/>
    </row>
    <row r="222" customFormat="false" ht="18.15" hidden="false" customHeight="true" outlineLevel="0" collapsed="false">
      <c r="B222" s="42"/>
      <c r="C222" s="43" t="str">
        <f aca="false">HYPERLINK("https://www.emi-penza.ru/p/778.3702-02", "778.3702-02")</f>
        <v>778.3702-02</v>
      </c>
      <c r="D222" s="44" t="s">
        <v>140</v>
      </c>
      <c r="E222" s="44"/>
      <c r="F222" s="44"/>
      <c r="G222" s="44"/>
      <c r="H222" s="60"/>
      <c r="I222" s="47"/>
      <c r="J222" s="45" t="s">
        <v>107</v>
      </c>
      <c r="K222" s="45" t="str">
        <f aca="false">HYPERLINK("https://pub.fsa.gov.ru/rds/declaration/view/18833441/common", "ЕАЭС N RU Д-RU.РА03.В.77095/24")</f>
        <v>ЕАЭС N RU Д-RU.РА03.В.77095/24</v>
      </c>
      <c r="L222" s="46"/>
      <c r="M222" s="45"/>
      <c r="N222" s="47" t="s">
        <v>108</v>
      </c>
      <c r="O222" s="47" t="s">
        <v>109</v>
      </c>
    </row>
    <row r="223" customFormat="false" ht="14.45" hidden="false" customHeight="true" outlineLevel="0" collapsed="false">
      <c r="B223" s="48"/>
      <c r="C223" s="49" t="str">
        <f aca="false">HYPERLINK("https://www.emi-penza.ru/p/778.3702-03", "778.3702-03")</f>
        <v>778.3702-03</v>
      </c>
      <c r="D223" s="95" t="s">
        <v>141</v>
      </c>
      <c r="E223" s="50"/>
      <c r="F223" s="50"/>
      <c r="G223" s="50"/>
      <c r="H223" s="50"/>
      <c r="I223" s="53"/>
      <c r="J223" s="51" t="s">
        <v>107</v>
      </c>
      <c r="K223" s="51" t="str">
        <f aca="false">HYPERLINK("https://pub.fsa.gov.ru/rds/declaration/view/18833441/common", "ЕАЭС N RU Д-RU.РА03.В.77095/24")</f>
        <v>ЕАЭС N RU Д-RU.РА03.В.77095/24</v>
      </c>
      <c r="L223" s="52"/>
      <c r="M223" s="51"/>
      <c r="N223" s="53" t="s">
        <v>108</v>
      </c>
      <c r="O223" s="53" t="s">
        <v>109</v>
      </c>
    </row>
    <row r="224" customFormat="false" ht="14.45" hidden="false" customHeight="true" outlineLevel="0" collapsed="false">
      <c r="B224" s="54"/>
      <c r="C224" s="55"/>
      <c r="D224" s="56"/>
      <c r="E224" s="56"/>
      <c r="F224" s="56"/>
      <c r="G224" s="56"/>
      <c r="H224" s="94" t="s">
        <v>124</v>
      </c>
      <c r="I224" s="59"/>
      <c r="J224" s="57"/>
      <c r="K224" s="57"/>
      <c r="L224" s="58"/>
      <c r="M224" s="57"/>
      <c r="N224" s="59"/>
      <c r="O224" s="59"/>
    </row>
    <row r="225" customFormat="false" ht="18.15" hidden="false" customHeight="true" outlineLevel="0" collapsed="false">
      <c r="B225" s="42"/>
      <c r="C225" s="43" t="str">
        <f aca="false">HYPERLINK("https://www.emi-penza.ru/p/778.3702-06", "778.3702-06")</f>
        <v>778.3702-06</v>
      </c>
      <c r="D225" s="44" t="s">
        <v>142</v>
      </c>
      <c r="E225" s="44"/>
      <c r="F225" s="44"/>
      <c r="G225" s="44"/>
      <c r="H225" s="60" t="s">
        <v>124</v>
      </c>
      <c r="I225" s="47"/>
      <c r="J225" s="45" t="s">
        <v>107</v>
      </c>
      <c r="K225" s="45" t="str">
        <f aca="false">HYPERLINK("https://pub.fsa.gov.ru/rds/declaration/view/18833441/common", "ЕАЭС N RU Д-RU.РА03.В.77095/24")</f>
        <v>ЕАЭС N RU Д-RU.РА03.В.77095/24</v>
      </c>
      <c r="L225" s="46"/>
      <c r="M225" s="45"/>
      <c r="N225" s="47" t="s">
        <v>108</v>
      </c>
      <c r="O225" s="47" t="s">
        <v>109</v>
      </c>
    </row>
    <row r="226" customFormat="false" ht="14.45" hidden="false" customHeight="true" outlineLevel="0" collapsed="false">
      <c r="B226" s="48"/>
      <c r="C226" s="49" t="str">
        <f aca="false">HYPERLINK("https://www.emi-penza.ru/p/779.3702", "779.3702")</f>
        <v>779.3702</v>
      </c>
      <c r="D226" s="50" t="s">
        <v>143</v>
      </c>
      <c r="E226" s="50"/>
      <c r="F226" s="50"/>
      <c r="G226" s="50"/>
      <c r="H226" s="50"/>
      <c r="I226" s="53"/>
      <c r="J226" s="51" t="s">
        <v>107</v>
      </c>
      <c r="K226" s="51" t="str">
        <f aca="false">HYPERLINK("https://pub.fsa.gov.ru/rds/declaration/view/18833441/common", "ЕАЭС N RU Д-RU.РА03.В.77095/24")</f>
        <v>ЕАЭС N RU Д-RU.РА03.В.77095/24</v>
      </c>
      <c r="L226" s="52"/>
      <c r="M226" s="51"/>
      <c r="N226" s="53" t="s">
        <v>108</v>
      </c>
      <c r="O226" s="53" t="s">
        <v>109</v>
      </c>
    </row>
    <row r="227" customFormat="false" ht="14.45" hidden="false" customHeight="true" outlineLevel="0" collapsed="false">
      <c r="B227" s="54"/>
      <c r="C227" s="55"/>
      <c r="D227" s="56" t="s">
        <v>144</v>
      </c>
      <c r="E227" s="56"/>
      <c r="F227" s="56"/>
      <c r="G227" s="56"/>
      <c r="H227" s="56"/>
      <c r="I227" s="59"/>
      <c r="J227" s="57"/>
      <c r="K227" s="57"/>
      <c r="L227" s="58"/>
      <c r="M227" s="57"/>
      <c r="N227" s="59"/>
      <c r="O227" s="59"/>
    </row>
    <row r="228" customFormat="false" ht="14.45" hidden="false" customHeight="true" outlineLevel="0" collapsed="false">
      <c r="B228" s="48"/>
      <c r="C228" s="49" t="str">
        <f aca="false">HYPERLINK("https://www.emi-penza.ru/p/779.3702-01", "779.3702-01")</f>
        <v>779.3702-01</v>
      </c>
      <c r="D228" s="50" t="s">
        <v>145</v>
      </c>
      <c r="E228" s="50"/>
      <c r="F228" s="50"/>
      <c r="G228" s="50"/>
      <c r="H228" s="50"/>
      <c r="I228" s="53"/>
      <c r="J228" s="51" t="s">
        <v>107</v>
      </c>
      <c r="K228" s="51" t="str">
        <f aca="false">HYPERLINK("https://pub.fsa.gov.ru/rds/declaration/view/18833441/common", "ЕАЭС N RU Д-RU.РА03.В.77095/24")</f>
        <v>ЕАЭС N RU Д-RU.РА03.В.77095/24</v>
      </c>
      <c r="L228" s="52"/>
      <c r="M228" s="51"/>
      <c r="N228" s="53" t="s">
        <v>108</v>
      </c>
      <c r="O228" s="53" t="s">
        <v>109</v>
      </c>
    </row>
    <row r="229" customFormat="false" ht="14.45" hidden="false" customHeight="true" outlineLevel="0" collapsed="false">
      <c r="B229" s="54"/>
      <c r="C229" s="55"/>
      <c r="D229" s="56"/>
      <c r="E229" s="56"/>
      <c r="F229" s="56"/>
      <c r="G229" s="56"/>
      <c r="H229" s="56"/>
      <c r="I229" s="59"/>
      <c r="J229" s="57"/>
      <c r="K229" s="57"/>
      <c r="L229" s="58"/>
      <c r="M229" s="57"/>
      <c r="N229" s="59"/>
      <c r="O229" s="59"/>
    </row>
    <row r="230" customFormat="false" ht="14.45" hidden="false" customHeight="true" outlineLevel="0" collapsed="false">
      <c r="B230" s="48"/>
      <c r="C230" s="49" t="str">
        <f aca="false">HYPERLINK("https://www.emi-penza.ru/p/779.3702-02", "779.3702-02")</f>
        <v>779.3702-02</v>
      </c>
      <c r="D230" s="50" t="s">
        <v>143</v>
      </c>
      <c r="E230" s="50"/>
      <c r="F230" s="50"/>
      <c r="G230" s="50"/>
      <c r="H230" s="50"/>
      <c r="I230" s="53"/>
      <c r="J230" s="51" t="s">
        <v>107</v>
      </c>
      <c r="K230" s="51" t="str">
        <f aca="false">HYPERLINK("https://pub.fsa.gov.ru/rds/declaration/view/18833441/common", "ЕАЭС N RU Д-RU.РА03.В.77095/24")</f>
        <v>ЕАЭС N RU Д-RU.РА03.В.77095/24</v>
      </c>
      <c r="L230" s="52"/>
      <c r="M230" s="51"/>
      <c r="N230" s="53" t="s">
        <v>108</v>
      </c>
      <c r="O230" s="53" t="s">
        <v>109</v>
      </c>
    </row>
    <row r="231" customFormat="false" ht="14.45" hidden="false" customHeight="true" outlineLevel="0" collapsed="false">
      <c r="B231" s="54"/>
      <c r="C231" s="55"/>
      <c r="D231" s="56" t="s">
        <v>144</v>
      </c>
      <c r="E231" s="56"/>
      <c r="F231" s="56"/>
      <c r="G231" s="56"/>
      <c r="H231" s="56"/>
      <c r="I231" s="59"/>
      <c r="J231" s="57"/>
      <c r="K231" s="57"/>
      <c r="L231" s="58"/>
      <c r="M231" s="57"/>
      <c r="N231" s="59"/>
      <c r="O231" s="59"/>
    </row>
    <row r="232" customFormat="false" ht="14.45" hidden="false" customHeight="true" outlineLevel="0" collapsed="false">
      <c r="B232" s="48"/>
      <c r="C232" s="49" t="str">
        <f aca="false">HYPERLINK("https://www.emi-penza.ru/p/779.3702-03", "779.3702-03")</f>
        <v>779.3702-03</v>
      </c>
      <c r="D232" s="50" t="s">
        <v>145</v>
      </c>
      <c r="E232" s="50"/>
      <c r="F232" s="50"/>
      <c r="G232" s="50"/>
      <c r="H232" s="50"/>
      <c r="I232" s="53"/>
      <c r="J232" s="51" t="s">
        <v>107</v>
      </c>
      <c r="K232" s="51" t="str">
        <f aca="false">HYPERLINK("https://pub.fsa.gov.ru/rds/declaration/view/18833441/common", "ЕАЭС N RU Д-RU.РА03.В.77095/24")</f>
        <v>ЕАЭС N RU Д-RU.РА03.В.77095/24</v>
      </c>
      <c r="L232" s="52"/>
      <c r="M232" s="51"/>
      <c r="N232" s="53" t="s">
        <v>108</v>
      </c>
      <c r="O232" s="53" t="s">
        <v>109</v>
      </c>
    </row>
    <row r="233" customFormat="false" ht="14.45" hidden="false" customHeight="true" outlineLevel="0" collapsed="false">
      <c r="B233" s="54"/>
      <c r="C233" s="55"/>
      <c r="D233" s="56"/>
      <c r="E233" s="56"/>
      <c r="F233" s="56"/>
      <c r="G233" s="56"/>
      <c r="H233" s="56"/>
      <c r="I233" s="59"/>
      <c r="J233" s="57"/>
      <c r="K233" s="57"/>
      <c r="L233" s="58"/>
      <c r="M233" s="57"/>
      <c r="N233" s="59"/>
      <c r="O233" s="59"/>
    </row>
    <row r="234" customFormat="false" ht="18.15" hidden="false" customHeight="true" outlineLevel="0" collapsed="false">
      <c r="B234" s="42"/>
      <c r="C234" s="43" t="str">
        <f aca="false">HYPERLINK("https://www.emi-penza.ru/p/811.3702", "811.3702")</f>
        <v>811.3702</v>
      </c>
      <c r="D234" s="44" t="s">
        <v>146</v>
      </c>
      <c r="E234" s="44"/>
      <c r="F234" s="44"/>
      <c r="G234" s="44"/>
      <c r="H234" s="44"/>
      <c r="I234" s="47"/>
      <c r="J234" s="45" t="s">
        <v>107</v>
      </c>
      <c r="K234" s="45" t="str">
        <f aca="false">HYPERLINK("https://pub.fsa.gov.ru/rds/declaration/view/18833441/common", "ЕАЭС N RU Д-RU.РА03.В.77095/24")</f>
        <v>ЕАЭС N RU Д-RU.РА03.В.77095/24</v>
      </c>
      <c r="L234" s="46"/>
      <c r="M234" s="45"/>
      <c r="N234" s="47" t="s">
        <v>108</v>
      </c>
      <c r="O234" s="47" t="s">
        <v>109</v>
      </c>
    </row>
    <row r="235" customFormat="false" ht="14.45" hidden="false" customHeight="true" outlineLevel="0" collapsed="false">
      <c r="B235" s="48"/>
      <c r="C235" s="49" t="str">
        <f aca="false">HYPERLINK("https://www.emi-penza.ru/p/811.3702_Z-L", "811.3702 З-Л")</f>
        <v>811.3702 З-Л</v>
      </c>
      <c r="D235" s="50" t="s">
        <v>147</v>
      </c>
      <c r="E235" s="50"/>
      <c r="F235" s="50"/>
      <c r="G235" s="50"/>
      <c r="H235" s="50"/>
      <c r="I235" s="53"/>
      <c r="J235" s="51"/>
      <c r="K235" s="51"/>
      <c r="L235" s="52"/>
      <c r="M235" s="51"/>
      <c r="N235" s="53"/>
      <c r="O235" s="53"/>
    </row>
    <row r="236" customFormat="false" ht="14.45" hidden="false" customHeight="true" outlineLevel="0" collapsed="false">
      <c r="B236" s="54"/>
      <c r="C236" s="55"/>
      <c r="D236" s="56" t="s">
        <v>148</v>
      </c>
      <c r="E236" s="56"/>
      <c r="F236" s="56"/>
      <c r="G236" s="56"/>
      <c r="H236" s="94"/>
      <c r="I236" s="59"/>
      <c r="J236" s="57"/>
      <c r="K236" s="57"/>
      <c r="L236" s="58"/>
      <c r="M236" s="57"/>
      <c r="N236" s="59"/>
      <c r="O236" s="59"/>
    </row>
    <row r="237" customFormat="false" ht="18.15" hidden="false" customHeight="true" outlineLevel="0" collapsed="false">
      <c r="B237" s="42"/>
      <c r="C237" s="43" t="str">
        <f aca="false">HYPERLINK("https://www.emi-penza.ru/p/811.3702-01", "811.3702-01")</f>
        <v>811.3702-01</v>
      </c>
      <c r="D237" s="44" t="s">
        <v>149</v>
      </c>
      <c r="E237" s="44"/>
      <c r="F237" s="44"/>
      <c r="G237" s="44"/>
      <c r="H237" s="44"/>
      <c r="I237" s="47"/>
      <c r="J237" s="45" t="s">
        <v>107</v>
      </c>
      <c r="K237" s="45" t="str">
        <f aca="false">HYPERLINK("https://pub.fsa.gov.ru/rds/declaration/view/18833441/common", "ЕАЭС N RU Д-RU.РА03.В.77095/24")</f>
        <v>ЕАЭС N RU Д-RU.РА03.В.77095/24</v>
      </c>
      <c r="L237" s="46"/>
      <c r="M237" s="45"/>
      <c r="N237" s="47" t="s">
        <v>108</v>
      </c>
      <c r="O237" s="47" t="s">
        <v>109</v>
      </c>
    </row>
    <row r="238" customFormat="false" ht="18.15" hidden="false" customHeight="true" outlineLevel="0" collapsed="false">
      <c r="B238" s="42"/>
      <c r="C238" s="43" t="str">
        <f aca="false">HYPERLINK("https://www.emi-penza.ru/p/811.3702-02", "811.3702-02")</f>
        <v>811.3702-02</v>
      </c>
      <c r="D238" s="44" t="s">
        <v>150</v>
      </c>
      <c r="E238" s="44"/>
      <c r="F238" s="44"/>
      <c r="G238" s="44"/>
      <c r="H238" s="44"/>
      <c r="I238" s="47"/>
      <c r="J238" s="45" t="s">
        <v>107</v>
      </c>
      <c r="K238" s="45" t="str">
        <f aca="false">HYPERLINK("https://pub.fsa.gov.ru/rds/declaration/view/18833441/common", "ЕАЭС N RU Д-RU.РА03.В.77095/24")</f>
        <v>ЕАЭС N RU Д-RU.РА03.В.77095/24</v>
      </c>
      <c r="L238" s="46"/>
      <c r="M238" s="45"/>
      <c r="N238" s="47" t="s">
        <v>108</v>
      </c>
      <c r="O238" s="47" t="s">
        <v>109</v>
      </c>
    </row>
    <row r="239" customFormat="false" ht="18.15" hidden="false" customHeight="true" outlineLevel="0" collapsed="false">
      <c r="B239" s="42"/>
      <c r="C239" s="43" t="str">
        <f aca="false">HYPERLINK("https://www.emi-penza.ru/p/811.3702-03", "811.3702-03")</f>
        <v>811.3702-03</v>
      </c>
      <c r="D239" s="44" t="s">
        <v>151</v>
      </c>
      <c r="E239" s="44"/>
      <c r="F239" s="44"/>
      <c r="G239" s="44"/>
      <c r="H239" s="44"/>
      <c r="I239" s="47"/>
      <c r="J239" s="45" t="s">
        <v>107</v>
      </c>
      <c r="K239" s="45" t="str">
        <f aca="false">HYPERLINK("https://pub.fsa.gov.ru/rds/declaration/view/18833441/common", "ЕАЭС N RU Д-RU.РА03.В.77095/24")</f>
        <v>ЕАЭС N RU Д-RU.РА03.В.77095/24</v>
      </c>
      <c r="L239" s="46"/>
      <c r="M239" s="45"/>
      <c r="N239" s="47" t="s">
        <v>108</v>
      </c>
      <c r="O239" s="47" t="s">
        <v>109</v>
      </c>
    </row>
    <row r="240" customFormat="false" ht="18.15" hidden="false" customHeight="true" outlineLevel="0" collapsed="false">
      <c r="B240" s="42"/>
      <c r="C240" s="43" t="str">
        <f aca="false">HYPERLINK("https://www.emi-penza.ru/p/811.3702-04", "811.3702-04")</f>
        <v>811.3702-04</v>
      </c>
      <c r="D240" s="44" t="s">
        <v>152</v>
      </c>
      <c r="E240" s="44"/>
      <c r="F240" s="44"/>
      <c r="G240" s="44"/>
      <c r="H240" s="44"/>
      <c r="I240" s="47"/>
      <c r="J240" s="45" t="s">
        <v>107</v>
      </c>
      <c r="K240" s="45" t="str">
        <f aca="false">HYPERLINK("https://pub.fsa.gov.ru/rds/declaration/view/18833441/common", "ЕАЭС N RU Д-RU.РА03.В.77095/24")</f>
        <v>ЕАЭС N RU Д-RU.РА03.В.77095/24</v>
      </c>
      <c r="L240" s="46"/>
      <c r="M240" s="45"/>
      <c r="N240" s="47" t="s">
        <v>108</v>
      </c>
      <c r="O240" s="47" t="s">
        <v>109</v>
      </c>
    </row>
    <row r="241" customFormat="false" ht="18.15" hidden="false" customHeight="true" outlineLevel="0" collapsed="false">
      <c r="B241" s="42"/>
      <c r="C241" s="43" t="str">
        <f aca="false">HYPERLINK("https://www.emi-penza.ru/p/811.3702-05", "811.3702-05")</f>
        <v>811.3702-05</v>
      </c>
      <c r="D241" s="44"/>
      <c r="E241" s="44"/>
      <c r="F241" s="44"/>
      <c r="G241" s="44"/>
      <c r="H241" s="44"/>
      <c r="I241" s="47"/>
      <c r="J241" s="45" t="s">
        <v>107</v>
      </c>
      <c r="K241" s="45" t="str">
        <f aca="false">HYPERLINK("https://pub.fsa.gov.ru/rds/declaration/view/18833441/common", "ЕАЭС N RU Д-RU.РА03.В.77095/24")</f>
        <v>ЕАЭС N RU Д-RU.РА03.В.77095/24</v>
      </c>
      <c r="L241" s="46"/>
      <c r="M241" s="45"/>
      <c r="N241" s="47" t="s">
        <v>108</v>
      </c>
      <c r="O241" s="47" t="s">
        <v>109</v>
      </c>
    </row>
    <row r="242" customFormat="false" ht="18.15" hidden="false" customHeight="true" outlineLevel="0" collapsed="false">
      <c r="B242" s="42"/>
      <c r="C242" s="43" t="str">
        <f aca="false">HYPERLINK("https://www.emi-penza.ru/p/811.3702-06", "811.3702-06")</f>
        <v>811.3702-06</v>
      </c>
      <c r="D242" s="44" t="s">
        <v>153</v>
      </c>
      <c r="E242" s="44"/>
      <c r="F242" s="44"/>
      <c r="G242" s="44"/>
      <c r="H242" s="44"/>
      <c r="I242" s="47"/>
      <c r="J242" s="45" t="s">
        <v>107</v>
      </c>
      <c r="K242" s="45" t="str">
        <f aca="false">HYPERLINK("https://pub.fsa.gov.ru/rds/declaration/view/18833441/common", "ЕАЭС N RU Д-RU.РА03.В.77095/24")</f>
        <v>ЕАЭС N RU Д-RU.РА03.В.77095/24</v>
      </c>
      <c r="L242" s="46"/>
      <c r="M242" s="45"/>
      <c r="N242" s="47" t="s">
        <v>108</v>
      </c>
      <c r="O242" s="47" t="s">
        <v>109</v>
      </c>
    </row>
    <row r="243" customFormat="false" ht="18.15" hidden="false" customHeight="true" outlineLevel="0" collapsed="false">
      <c r="B243" s="42"/>
      <c r="C243" s="43" t="str">
        <f aca="false">HYPERLINK("https://www.emi-penza.ru/p/811.3702-08", "811.3702-08")</f>
        <v>811.3702-08</v>
      </c>
      <c r="D243" s="44" t="s">
        <v>146</v>
      </c>
      <c r="E243" s="44"/>
      <c r="F243" s="44"/>
      <c r="G243" s="44"/>
      <c r="H243" s="44"/>
      <c r="I243" s="47"/>
      <c r="J243" s="45" t="s">
        <v>107</v>
      </c>
      <c r="K243" s="45" t="str">
        <f aca="false">HYPERLINK("https://pub.fsa.gov.ru/rds/declaration/view/18833441/common", "ЕАЭС N RU Д-RU.РА03.В.77095/24")</f>
        <v>ЕАЭС N RU Д-RU.РА03.В.77095/24</v>
      </c>
      <c r="L243" s="46"/>
      <c r="M243" s="45"/>
      <c r="N243" s="47" t="s">
        <v>108</v>
      </c>
      <c r="O243" s="47" t="s">
        <v>109</v>
      </c>
    </row>
    <row r="244" customFormat="false" ht="18.15" hidden="false" customHeight="true" outlineLevel="0" collapsed="false">
      <c r="B244" s="42"/>
      <c r="C244" s="43" t="str">
        <f aca="false">HYPERLINK("https://www.emi-penza.ru/p/811.3702-10", "811.3702-10")</f>
        <v>811.3702-10</v>
      </c>
      <c r="D244" s="44" t="s">
        <v>146</v>
      </c>
      <c r="E244" s="44"/>
      <c r="F244" s="44"/>
      <c r="G244" s="44"/>
      <c r="H244" s="44"/>
      <c r="I244" s="47"/>
      <c r="J244" s="45" t="s">
        <v>107</v>
      </c>
      <c r="K244" s="45" t="str">
        <f aca="false">HYPERLINK("https://pub.fsa.gov.ru/rds/declaration/view/18833441/common", "ЕАЭС N RU Д-RU.РА03.В.77095/24")</f>
        <v>ЕАЭС N RU Д-RU.РА03.В.77095/24</v>
      </c>
      <c r="L244" s="46"/>
      <c r="M244" s="45"/>
      <c r="N244" s="47" t="s">
        <v>108</v>
      </c>
      <c r="O244" s="47" t="s">
        <v>109</v>
      </c>
    </row>
    <row r="245" customFormat="false" ht="18.15" hidden="false" customHeight="true" outlineLevel="0" collapsed="false">
      <c r="B245" s="75"/>
      <c r="C245" s="76" t="str">
        <f aca="false">HYPERLINK("https://www.emi-penza.ru/p/811.3702-11", "811.3702-11")</f>
        <v>811.3702-11</v>
      </c>
      <c r="D245" s="77" t="s">
        <v>146</v>
      </c>
      <c r="E245" s="77"/>
      <c r="F245" s="77"/>
      <c r="G245" s="77"/>
      <c r="H245" s="77"/>
      <c r="I245" s="79"/>
      <c r="J245" s="78" t="s">
        <v>107</v>
      </c>
      <c r="K245" s="78" t="str">
        <f aca="false">HYPERLINK("https://pub.fsa.gov.ru/rds/declaration/view/18833441/common", "ЕАЭС N RU Д-RU.РА03.В.77095/24")</f>
        <v>ЕАЭС N RU Д-RU.РА03.В.77095/24</v>
      </c>
      <c r="L245" s="77"/>
      <c r="M245" s="78"/>
      <c r="N245" s="79" t="s">
        <v>108</v>
      </c>
      <c r="O245" s="79" t="s">
        <v>109</v>
      </c>
    </row>
    <row r="246" customFormat="false" ht="9.95" hidden="false" customHeight="true" outlineLevel="0" collapsed="false">
      <c r="B246" s="74"/>
      <c r="N246" s="3"/>
      <c r="O246" s="3"/>
    </row>
    <row r="247" customFormat="false" ht="22.7" hidden="false" customHeight="true" outlineLevel="0" collapsed="false">
      <c r="B247" s="3"/>
      <c r="C247" s="35" t="s">
        <v>154</v>
      </c>
      <c r="D247" s="36"/>
      <c r="E247" s="36"/>
      <c r="F247" s="36"/>
      <c r="G247" s="36"/>
      <c r="H247" s="36"/>
      <c r="I247" s="36"/>
      <c r="J247" s="37"/>
      <c r="K247" s="37"/>
      <c r="L247" s="38"/>
      <c r="M247" s="37"/>
      <c r="N247" s="80"/>
      <c r="O247" s="80"/>
    </row>
    <row r="248" customFormat="false" ht="2.85" hidden="false" customHeight="true" outlineLevel="0" collapsed="false">
      <c r="B248" s="3"/>
      <c r="N248" s="3"/>
      <c r="O248" s="3"/>
    </row>
    <row r="249" customFormat="false" ht="13.3" hidden="true" customHeight="true" outlineLevel="0" collapsed="false">
      <c r="B249" s="40"/>
      <c r="C249" s="41"/>
      <c r="N249" s="3"/>
      <c r="O249" s="3"/>
    </row>
    <row r="250" customFormat="false" ht="13.3" hidden="false" customHeight="true" outlineLevel="0" collapsed="false">
      <c r="B250" s="40" t="s">
        <v>7</v>
      </c>
      <c r="C250" s="41" t="s">
        <v>8</v>
      </c>
      <c r="N250" s="3"/>
      <c r="O250" s="3"/>
    </row>
    <row r="251" customFormat="false" ht="14.15" hidden="false" customHeight="true" outlineLevel="0" collapsed="false">
      <c r="B251" s="96"/>
      <c r="C251" s="49" t="str">
        <f aca="false">HYPERLINK("https://www.emi-penza.ru/p/57.3777", "57.3777")</f>
        <v>57.3777</v>
      </c>
      <c r="D251" s="50" t="s">
        <v>155</v>
      </c>
      <c r="E251" s="50"/>
      <c r="F251" s="50"/>
      <c r="G251" s="50"/>
      <c r="H251" s="50"/>
      <c r="I251" s="53"/>
      <c r="J251" s="51" t="s">
        <v>156</v>
      </c>
      <c r="K251" s="51" t="str">
        <f aca="false">HYPERLINK("https://pub.fsa.gov.ru/rds/declaration/view/18948803/common", "ЕАЭС N RU Д-RU.РА04.В.68862/24")</f>
        <v>ЕАЭС N RU Д-RU.РА04.В.68862/24</v>
      </c>
      <c r="L251" s="52"/>
      <c r="M251" s="51"/>
      <c r="N251" s="53" t="s">
        <v>157</v>
      </c>
      <c r="O251" s="53" t="s">
        <v>158</v>
      </c>
    </row>
    <row r="252" customFormat="false" ht="15" hidden="false" customHeight="true" outlineLevel="0" collapsed="false">
      <c r="B252" s="3"/>
      <c r="C252" s="55"/>
      <c r="D252" s="56"/>
      <c r="E252" s="56"/>
      <c r="F252" s="56"/>
      <c r="G252" s="56"/>
      <c r="H252" s="94" t="s">
        <v>124</v>
      </c>
      <c r="I252" s="59"/>
      <c r="J252" s="57"/>
      <c r="K252" s="57"/>
      <c r="L252" s="58"/>
      <c r="M252" s="57"/>
      <c r="N252" s="59"/>
      <c r="O252" s="59"/>
    </row>
    <row r="253" customFormat="false" ht="18.15" hidden="false" customHeight="true" outlineLevel="0" collapsed="false">
      <c r="B253" s="40"/>
      <c r="C253" s="43" t="str">
        <f aca="false">HYPERLINK("https://www.emi-penza.ru/p/57.3777-01", "57.3777-01")</f>
        <v>57.3777-01</v>
      </c>
      <c r="D253" s="44" t="s">
        <v>159</v>
      </c>
      <c r="E253" s="44"/>
      <c r="F253" s="44"/>
      <c r="G253" s="44"/>
      <c r="H253" s="60" t="s">
        <v>124</v>
      </c>
      <c r="I253" s="47"/>
      <c r="J253" s="45" t="s">
        <v>156</v>
      </c>
      <c r="K253" s="45" t="str">
        <f aca="false">HYPERLINK("https://pub.fsa.gov.ru/rds/declaration/view/18948803/common", "ЕАЭС N RU Д-RU.РА04.В.68862/24")</f>
        <v>ЕАЭС N RU Д-RU.РА04.В.68862/24</v>
      </c>
      <c r="L253" s="46"/>
      <c r="M253" s="45"/>
      <c r="N253" s="47" t="s">
        <v>157</v>
      </c>
      <c r="O253" s="47" t="s">
        <v>158</v>
      </c>
    </row>
    <row r="254" customFormat="false" ht="18.15" hidden="false" customHeight="true" outlineLevel="0" collapsed="false">
      <c r="B254" s="40"/>
      <c r="C254" s="43" t="str">
        <f aca="false">HYPERLINK("https://www.emi-penza.ru/p/57.3777-01-Z", "57.3777-01-З")</f>
        <v>57.3777-01-З</v>
      </c>
      <c r="D254" s="44" t="s">
        <v>159</v>
      </c>
      <c r="E254" s="44"/>
      <c r="F254" s="44"/>
      <c r="G254" s="44"/>
      <c r="H254" s="44"/>
      <c r="I254" s="47"/>
      <c r="J254" s="45" t="s">
        <v>156</v>
      </c>
      <c r="K254" s="45" t="str">
        <f aca="false">HYPERLINK("https://pub.fsa.gov.ru/rds/declaration/view/18948803/common", "ЕАЭС N RU Д-RU.РА04.В.68862/24")</f>
        <v>ЕАЭС N RU Д-RU.РА04.В.68862/24</v>
      </c>
      <c r="L254" s="46"/>
      <c r="M254" s="45"/>
      <c r="N254" s="47" t="s">
        <v>157</v>
      </c>
      <c r="O254" s="47" t="s">
        <v>158</v>
      </c>
    </row>
    <row r="255" customFormat="false" ht="14.15" hidden="false" customHeight="true" outlineLevel="0" collapsed="false">
      <c r="B255" s="96"/>
      <c r="C255" s="49" t="str">
        <f aca="false">HYPERLINK("https://www.emi-penza.ru/p/57.3777-01_M", "57.3777-01 М")</f>
        <v>57.3777-01 М</v>
      </c>
      <c r="D255" s="50" t="s">
        <v>159</v>
      </c>
      <c r="E255" s="50"/>
      <c r="F255" s="50"/>
      <c r="G255" s="50"/>
      <c r="H255" s="50"/>
      <c r="I255" s="53"/>
      <c r="J255" s="51" t="s">
        <v>156</v>
      </c>
      <c r="K255" s="51" t="str">
        <f aca="false">HYPERLINK("https://pub.fsa.gov.ru/rds/declaration/view/18948803/common", "ЕАЭС N RU Д-RU.РА04.В.68862/24")</f>
        <v>ЕАЭС N RU Д-RU.РА04.В.68862/24</v>
      </c>
      <c r="L255" s="52"/>
      <c r="M255" s="51"/>
      <c r="N255" s="53" t="s">
        <v>157</v>
      </c>
      <c r="O255" s="53" t="s">
        <v>158</v>
      </c>
    </row>
    <row r="256" customFormat="false" ht="15" hidden="false" customHeight="true" outlineLevel="0" collapsed="false">
      <c r="B256" s="3"/>
      <c r="C256" s="55"/>
      <c r="D256" s="56"/>
      <c r="E256" s="56"/>
      <c r="F256" s="56"/>
      <c r="G256" s="56"/>
      <c r="H256" s="56"/>
      <c r="I256" s="59"/>
      <c r="J256" s="57"/>
      <c r="K256" s="57"/>
      <c r="L256" s="58"/>
      <c r="M256" s="57"/>
      <c r="N256" s="59"/>
      <c r="O256" s="59"/>
    </row>
    <row r="257" customFormat="false" ht="14.15" hidden="false" customHeight="true" outlineLevel="0" collapsed="false">
      <c r="B257" s="96"/>
      <c r="C257" s="49" t="str">
        <f aca="false">HYPERLINK("https://www.emi-penza.ru/p/57.3777-02", "57.3777-02")</f>
        <v>57.3777-02</v>
      </c>
      <c r="D257" s="50" t="s">
        <v>155</v>
      </c>
      <c r="E257" s="50"/>
      <c r="F257" s="50"/>
      <c r="G257" s="50"/>
      <c r="H257" s="50"/>
      <c r="I257" s="53"/>
      <c r="J257" s="51" t="s">
        <v>156</v>
      </c>
      <c r="K257" s="51" t="str">
        <f aca="false">HYPERLINK("https://pub.fsa.gov.ru/rds/declaration/view/18948803/common", "ЕАЭС N RU Д-RU.РА04.В.68862/24")</f>
        <v>ЕАЭС N RU Д-RU.РА04.В.68862/24</v>
      </c>
      <c r="L257" s="52"/>
      <c r="M257" s="51"/>
      <c r="N257" s="53" t="s">
        <v>157</v>
      </c>
      <c r="O257" s="53" t="s">
        <v>158</v>
      </c>
    </row>
    <row r="258" customFormat="false" ht="15" hidden="false" customHeight="true" outlineLevel="0" collapsed="false">
      <c r="B258" s="3"/>
      <c r="C258" s="55"/>
      <c r="D258" s="56"/>
      <c r="E258" s="56"/>
      <c r="F258" s="56"/>
      <c r="G258" s="56"/>
      <c r="H258" s="56"/>
      <c r="I258" s="59"/>
      <c r="J258" s="57"/>
      <c r="K258" s="57"/>
      <c r="L258" s="58"/>
      <c r="M258" s="57"/>
      <c r="N258" s="59"/>
      <c r="O258" s="59"/>
    </row>
    <row r="259" customFormat="false" ht="15" hidden="false" customHeight="true" outlineLevel="0" collapsed="false">
      <c r="B259" s="40"/>
      <c r="C259" s="43" t="str">
        <f aca="false">HYPERLINK("https://www.emi-penza.ru/p/57.3777-04", "57.3777-04")</f>
        <v>57.3777-04</v>
      </c>
      <c r="D259" s="44" t="s">
        <v>160</v>
      </c>
      <c r="E259" s="44"/>
      <c r="F259" s="44"/>
      <c r="G259" s="44"/>
      <c r="H259" s="44"/>
      <c r="I259" s="47"/>
      <c r="J259" s="45" t="s">
        <v>156</v>
      </c>
      <c r="K259" s="45" t="str">
        <f aca="false">HYPERLINK("https://pub.fsa.gov.ru/rds/declaration/view/18948803/common", "ЕАЭС N RU Д-RU.РА04.В.68862/24")</f>
        <v>ЕАЭС N RU Д-RU.РА04.В.68862/24</v>
      </c>
      <c r="L259" s="46"/>
      <c r="M259" s="45"/>
      <c r="N259" s="47" t="s">
        <v>157</v>
      </c>
      <c r="O259" s="47" t="s">
        <v>158</v>
      </c>
    </row>
    <row r="260" customFormat="false" ht="15" hidden="false" customHeight="true" outlineLevel="0" collapsed="false">
      <c r="B260" s="40"/>
      <c r="C260" s="43" t="str">
        <f aca="false">HYPERLINK("https://www.emi-penza.ru/p/57.3777-05", "57.3777-05")</f>
        <v>57.3777-05</v>
      </c>
      <c r="D260" s="97" t="s">
        <v>161</v>
      </c>
      <c r="E260" s="44"/>
      <c r="F260" s="44"/>
      <c r="G260" s="44"/>
      <c r="H260" s="44"/>
      <c r="I260" s="47"/>
      <c r="J260" s="45" t="s">
        <v>156</v>
      </c>
      <c r="K260" s="45" t="str">
        <f aca="false">HYPERLINK("https://pub.fsa.gov.ru/rds/declaration/view/18948803/common", "ЕАЭС N RU Д-RU.РА04.В.68862/24")</f>
        <v>ЕАЭС N RU Д-RU.РА04.В.68862/24</v>
      </c>
      <c r="L260" s="46"/>
      <c r="M260" s="45"/>
      <c r="N260" s="47" t="s">
        <v>157</v>
      </c>
      <c r="O260" s="47" t="s">
        <v>158</v>
      </c>
    </row>
    <row r="261" customFormat="false" ht="15" hidden="false" customHeight="true" outlineLevel="0" collapsed="false">
      <c r="B261" s="40"/>
      <c r="C261" s="43" t="str">
        <f aca="false">HYPERLINK("https://www.emi-penza.ru/p/57.3777-06", "57.3777-06")</f>
        <v>57.3777-06</v>
      </c>
      <c r="D261" s="44" t="s">
        <v>162</v>
      </c>
      <c r="E261" s="44"/>
      <c r="F261" s="44"/>
      <c r="G261" s="44"/>
      <c r="H261" s="44"/>
      <c r="I261" s="47"/>
      <c r="J261" s="45" t="s">
        <v>156</v>
      </c>
      <c r="K261" s="45" t="str">
        <f aca="false">HYPERLINK("https://pub.fsa.gov.ru/rds/declaration/view/18948803/common", "ЕАЭС N RU Д-RU.РА04.В.68862/24")</f>
        <v>ЕАЭС N RU Д-RU.РА04.В.68862/24</v>
      </c>
      <c r="L261" s="46"/>
      <c r="M261" s="45"/>
      <c r="N261" s="47" t="s">
        <v>157</v>
      </c>
      <c r="O261" s="47" t="s">
        <v>158</v>
      </c>
    </row>
    <row r="262" customFormat="false" ht="15" hidden="false" customHeight="true" outlineLevel="0" collapsed="false">
      <c r="B262" s="40"/>
      <c r="C262" s="43" t="str">
        <f aca="false">HYPERLINK("https://www.emi-penza.ru/p/57.3777-07", "57.3777-07")</f>
        <v>57.3777-07</v>
      </c>
      <c r="D262" s="44" t="s">
        <v>163</v>
      </c>
      <c r="E262" s="44"/>
      <c r="F262" s="44"/>
      <c r="G262" s="44"/>
      <c r="H262" s="44"/>
      <c r="I262" s="47"/>
      <c r="J262" s="45" t="s">
        <v>156</v>
      </c>
      <c r="K262" s="45" t="str">
        <f aca="false">HYPERLINK("https://pub.fsa.gov.ru/rds/declaration/view/18948803/common", "ЕАЭС N RU Д-RU.РА04.В.68862/24")</f>
        <v>ЕАЭС N RU Д-RU.РА04.В.68862/24</v>
      </c>
      <c r="L262" s="46"/>
      <c r="M262" s="45"/>
      <c r="N262" s="47" t="s">
        <v>157</v>
      </c>
      <c r="O262" s="47" t="s">
        <v>158</v>
      </c>
    </row>
    <row r="263" customFormat="false" ht="18.15" hidden="false" customHeight="true" outlineLevel="0" collapsed="false">
      <c r="B263" s="40"/>
      <c r="C263" s="43" t="str">
        <f aca="false">HYPERLINK("https://www.emi-penza.ru/p/59.3787", "59.3787")</f>
        <v>59.3787</v>
      </c>
      <c r="D263" s="44" t="s">
        <v>164</v>
      </c>
      <c r="E263" s="44"/>
      <c r="F263" s="44"/>
      <c r="G263" s="44"/>
      <c r="H263" s="44"/>
      <c r="I263" s="47"/>
      <c r="J263" s="45" t="s">
        <v>156</v>
      </c>
      <c r="K263" s="45" t="str">
        <f aca="false">HYPERLINK("https://pub.fsa.gov.ru/rds/declaration/view/18948803/common", "ЕАЭС N RU Д-RU.РА04.В.68862/24")</f>
        <v>ЕАЭС N RU Д-RU.РА04.В.68862/24</v>
      </c>
      <c r="L263" s="46"/>
      <c r="M263" s="45"/>
      <c r="N263" s="47" t="s">
        <v>157</v>
      </c>
      <c r="O263" s="47" t="s">
        <v>158</v>
      </c>
    </row>
    <row r="264" customFormat="false" ht="18.15" hidden="false" customHeight="true" outlineLevel="0" collapsed="false">
      <c r="B264" s="40" t="s">
        <v>7</v>
      </c>
      <c r="C264" s="43" t="str">
        <f aca="false">HYPERLINK("https://www.emi-penza.ru/p/59.3787-03", "59.3787-03")</f>
        <v>59.3787-03</v>
      </c>
      <c r="D264" s="44"/>
      <c r="E264" s="44"/>
      <c r="F264" s="44"/>
      <c r="G264" s="44"/>
      <c r="H264" s="44"/>
      <c r="I264" s="47"/>
      <c r="J264" s="45" t="s">
        <v>156</v>
      </c>
      <c r="K264" s="45" t="str">
        <f aca="false">HYPERLINK("https://pub.fsa.gov.ru/rds/declaration/view/18948803/common", "ЕАЭС N RU Д-RU.РА04.В.68862/24")</f>
        <v>ЕАЭС N RU Д-RU.РА04.В.68862/24</v>
      </c>
      <c r="L264" s="46"/>
      <c r="M264" s="45"/>
      <c r="N264" s="47" t="s">
        <v>157</v>
      </c>
      <c r="O264" s="47" t="s">
        <v>158</v>
      </c>
    </row>
    <row r="265" customFormat="false" ht="18.15" hidden="false" customHeight="true" outlineLevel="0" collapsed="false">
      <c r="B265" s="40"/>
      <c r="C265" s="43" t="str">
        <f aca="false">HYPERLINK("https://www.emi-penza.ru/p/64.3777", "64.3777")</f>
        <v>64.3777</v>
      </c>
      <c r="D265" s="44" t="s">
        <v>165</v>
      </c>
      <c r="E265" s="44"/>
      <c r="F265" s="44"/>
      <c r="G265" s="44"/>
      <c r="H265" s="44"/>
      <c r="I265" s="47"/>
      <c r="J265" s="45" t="s">
        <v>156</v>
      </c>
      <c r="K265" s="45" t="str">
        <f aca="false">HYPERLINK("https://pub.fsa.gov.ru/rds/declaration/view/18948803/common", "ЕАЭС N RU Д-RU.РА04.В.68862/24")</f>
        <v>ЕАЭС N RU Д-RU.РА04.В.68862/24</v>
      </c>
      <c r="L265" s="46"/>
      <c r="M265" s="45"/>
      <c r="N265" s="47" t="s">
        <v>157</v>
      </c>
      <c r="O265" s="47" t="s">
        <v>158</v>
      </c>
    </row>
    <row r="266" customFormat="false" ht="18.15" hidden="false" customHeight="true" outlineLevel="0" collapsed="false">
      <c r="B266" s="40"/>
      <c r="C266" s="88" t="str">
        <f aca="false">HYPERLINK("https://www.emi-penza.ru/p/68.3787", "68.3787")</f>
        <v>68.3787</v>
      </c>
      <c r="D266" s="89" t="s">
        <v>166</v>
      </c>
      <c r="E266" s="89"/>
      <c r="F266" s="89"/>
      <c r="G266" s="89"/>
      <c r="H266" s="89"/>
      <c r="I266" s="90"/>
      <c r="J266" s="91" t="s">
        <v>156</v>
      </c>
      <c r="K266" s="91" t="str">
        <f aca="false">HYPERLINK("https://pub.fsa.gov.ru/rds/declaration/view/18948803/common", "ЕАЭС N RU Д-RU.РА04.В.68862/24")</f>
        <v>ЕАЭС N RU Д-RU.РА04.В.68862/24</v>
      </c>
      <c r="L266" s="92"/>
      <c r="M266" s="91"/>
      <c r="N266" s="90" t="s">
        <v>157</v>
      </c>
      <c r="O266" s="90" t="s">
        <v>158</v>
      </c>
    </row>
    <row r="267" customFormat="false" ht="14.15" hidden="false" customHeight="true" outlineLevel="0" collapsed="false">
      <c r="B267" s="96"/>
      <c r="C267" s="49" t="str">
        <f aca="false">HYPERLINK("https://www.emi-penza.ru/p/571.3777", "571.3777")</f>
        <v>571.3777</v>
      </c>
      <c r="D267" s="50" t="s">
        <v>167</v>
      </c>
      <c r="E267" s="50"/>
      <c r="F267" s="50"/>
      <c r="G267" s="50"/>
      <c r="H267" s="50"/>
      <c r="I267" s="53"/>
      <c r="J267" s="51" t="s">
        <v>156</v>
      </c>
      <c r="K267" s="51" t="str">
        <f aca="false">HYPERLINK("https://pub.fsa.gov.ru/rds/declaration/view/18948803/common", "ЕАЭС N RU Д-RU.РА04.В.68862/24")</f>
        <v>ЕАЭС N RU Д-RU.РА04.В.68862/24</v>
      </c>
      <c r="L267" s="52"/>
      <c r="M267" s="51"/>
      <c r="N267" s="53" t="s">
        <v>157</v>
      </c>
      <c r="O267" s="53" t="s">
        <v>158</v>
      </c>
    </row>
    <row r="268" customFormat="false" ht="15" hidden="false" customHeight="true" outlineLevel="0" collapsed="false">
      <c r="B268" s="3"/>
      <c r="C268" s="55"/>
      <c r="D268" s="56"/>
      <c r="E268" s="56"/>
      <c r="F268" s="56"/>
      <c r="G268" s="56"/>
      <c r="H268" s="94" t="s">
        <v>124</v>
      </c>
      <c r="I268" s="59"/>
      <c r="J268" s="57"/>
      <c r="K268" s="57"/>
      <c r="L268" s="58"/>
      <c r="M268" s="57"/>
      <c r="N268" s="59"/>
      <c r="O268" s="59"/>
    </row>
    <row r="269" customFormat="false" ht="14.15" hidden="false" customHeight="true" outlineLevel="0" collapsed="false">
      <c r="B269" s="96"/>
      <c r="C269" s="49" t="str">
        <f aca="false">HYPERLINK("https://www.emi-penza.ru/p/572.3777", "572.3777")</f>
        <v>572.3777</v>
      </c>
      <c r="D269" s="50" t="s">
        <v>168</v>
      </c>
      <c r="E269" s="50"/>
      <c r="F269" s="50"/>
      <c r="G269" s="50"/>
      <c r="H269" s="50"/>
      <c r="I269" s="53"/>
      <c r="J269" s="51" t="s">
        <v>156</v>
      </c>
      <c r="K269" s="51" t="str">
        <f aca="false">HYPERLINK("https://pub.fsa.gov.ru/rds/declaration/view/18948803/common", "ЕАЭС N RU Д-RU.РА04.В.68862/24")</f>
        <v>ЕАЭС N RU Д-RU.РА04.В.68862/24</v>
      </c>
      <c r="L269" s="52"/>
      <c r="M269" s="51"/>
      <c r="N269" s="53" t="s">
        <v>157</v>
      </c>
      <c r="O269" s="53" t="s">
        <v>158</v>
      </c>
    </row>
    <row r="270" customFormat="false" ht="15" hidden="false" customHeight="true" outlineLevel="0" collapsed="false">
      <c r="B270" s="3"/>
      <c r="C270" s="55"/>
      <c r="D270" s="56"/>
      <c r="E270" s="56"/>
      <c r="F270" s="56"/>
      <c r="G270" s="56"/>
      <c r="H270" s="94" t="s">
        <v>124</v>
      </c>
      <c r="I270" s="59"/>
      <c r="J270" s="57"/>
      <c r="K270" s="57"/>
      <c r="L270" s="58"/>
      <c r="M270" s="57"/>
      <c r="N270" s="59"/>
      <c r="O270" s="59"/>
    </row>
    <row r="271" customFormat="false" ht="18.15" hidden="false" customHeight="true" outlineLevel="0" collapsed="false">
      <c r="B271" s="40"/>
      <c r="C271" s="43" t="str">
        <f aca="false">HYPERLINK("https://www.emi-penza.ru/p/573.3777", "573.3777")</f>
        <v>573.3777</v>
      </c>
      <c r="D271" s="44" t="s">
        <v>169</v>
      </c>
      <c r="E271" s="44"/>
      <c r="F271" s="44"/>
      <c r="G271" s="44"/>
      <c r="H271" s="44"/>
      <c r="I271" s="47"/>
      <c r="J271" s="45" t="s">
        <v>156</v>
      </c>
      <c r="K271" s="45" t="str">
        <f aca="false">HYPERLINK("https://pub.fsa.gov.ru/rds/declaration/view/18948803/common", "ЕАЭС N RU Д-RU.РА04.В.68862/24")</f>
        <v>ЕАЭС N RU Д-RU.РА04.В.68862/24</v>
      </c>
      <c r="L271" s="46"/>
      <c r="M271" s="45"/>
      <c r="N271" s="47" t="s">
        <v>157</v>
      </c>
      <c r="O271" s="47" t="s">
        <v>158</v>
      </c>
    </row>
    <row r="272" customFormat="false" ht="18.15" hidden="false" customHeight="true" outlineLevel="0" collapsed="false">
      <c r="B272" s="40"/>
      <c r="C272" s="43" t="str">
        <f aca="false">HYPERLINK("https://www.emi-penza.ru/p/574.3777", "574.3777")</f>
        <v>574.3777</v>
      </c>
      <c r="D272" s="44" t="s">
        <v>170</v>
      </c>
      <c r="E272" s="44"/>
      <c r="F272" s="44"/>
      <c r="G272" s="44"/>
      <c r="H272" s="44"/>
      <c r="I272" s="47"/>
      <c r="J272" s="45" t="s">
        <v>156</v>
      </c>
      <c r="K272" s="45" t="str">
        <f aca="false">HYPERLINK("https://pub.fsa.gov.ru/rds/declaration/view/18948803/common", "ЕАЭС N RU Д-RU.РА04.В.68862/24")</f>
        <v>ЕАЭС N RU Д-RU.РА04.В.68862/24</v>
      </c>
      <c r="L272" s="46"/>
      <c r="M272" s="45"/>
      <c r="N272" s="47" t="s">
        <v>157</v>
      </c>
      <c r="O272" s="47" t="s">
        <v>158</v>
      </c>
    </row>
    <row r="273" customFormat="false" ht="14.15" hidden="false" customHeight="true" outlineLevel="0" collapsed="false">
      <c r="B273" s="96"/>
      <c r="C273" s="49" t="str">
        <f aca="false">HYPERLINK("https://www.emi-penza.ru/p/575.3777", "575.3777")</f>
        <v>575.3777</v>
      </c>
      <c r="D273" s="50" t="s">
        <v>171</v>
      </c>
      <c r="E273" s="50"/>
      <c r="F273" s="50"/>
      <c r="G273" s="50"/>
      <c r="H273" s="50"/>
      <c r="I273" s="53"/>
      <c r="J273" s="51" t="s">
        <v>156</v>
      </c>
      <c r="K273" s="51" t="str">
        <f aca="false">HYPERLINK("https://pub.fsa.gov.ru/rds/declaration/view/18948803/common", "ЕАЭС N RU Д-RU.РА04.В.68862/24")</f>
        <v>ЕАЭС N RU Д-RU.РА04.В.68862/24</v>
      </c>
      <c r="L273" s="52"/>
      <c r="M273" s="51"/>
      <c r="N273" s="53" t="s">
        <v>157</v>
      </c>
      <c r="O273" s="53" t="s">
        <v>158</v>
      </c>
    </row>
    <row r="274" customFormat="false" ht="15" hidden="false" customHeight="true" outlineLevel="0" collapsed="false">
      <c r="B274" s="3"/>
      <c r="C274" s="55"/>
      <c r="D274" s="56"/>
      <c r="E274" s="56"/>
      <c r="F274" s="56"/>
      <c r="G274" s="56"/>
      <c r="H274" s="56"/>
      <c r="I274" s="59"/>
      <c r="J274" s="57"/>
      <c r="K274" s="57"/>
      <c r="L274" s="58"/>
      <c r="M274" s="57"/>
      <c r="N274" s="59"/>
      <c r="O274" s="59"/>
    </row>
    <row r="275" customFormat="false" ht="14.15" hidden="false" customHeight="true" outlineLevel="0" collapsed="false">
      <c r="B275" s="96"/>
      <c r="C275" s="49" t="str">
        <f aca="false">HYPERLINK("https://www.emi-penza.ru/p/575.3777-01", "575.3777-01")</f>
        <v>575.3777-01</v>
      </c>
      <c r="D275" s="50"/>
      <c r="E275" s="50"/>
      <c r="F275" s="50"/>
      <c r="G275" s="50"/>
      <c r="H275" s="50"/>
      <c r="I275" s="53"/>
      <c r="J275" s="51" t="s">
        <v>156</v>
      </c>
      <c r="K275" s="51" t="str">
        <f aca="false">HYPERLINK("https://pub.fsa.gov.ru/rds/declaration/view/18948803/common", "ЕАЭС N RU Д-RU.РА04.В.68862/24")</f>
        <v>ЕАЭС N RU Д-RU.РА04.В.68862/24</v>
      </c>
      <c r="L275" s="52"/>
      <c r="M275" s="51"/>
      <c r="N275" s="53" t="s">
        <v>157</v>
      </c>
      <c r="O275" s="53" t="s">
        <v>158</v>
      </c>
    </row>
    <row r="276" customFormat="false" ht="15" hidden="false" customHeight="true" outlineLevel="0" collapsed="false">
      <c r="B276" s="3"/>
      <c r="C276" s="55"/>
      <c r="D276" s="56"/>
      <c r="E276" s="56"/>
      <c r="F276" s="56"/>
      <c r="G276" s="56"/>
      <c r="H276" s="56"/>
      <c r="I276" s="59"/>
      <c r="J276" s="57"/>
      <c r="K276" s="57"/>
      <c r="L276" s="58"/>
      <c r="M276" s="57"/>
      <c r="N276" s="59"/>
      <c r="O276" s="59"/>
    </row>
    <row r="277" customFormat="false" ht="14.15" hidden="false" customHeight="true" outlineLevel="0" collapsed="false">
      <c r="B277" s="96"/>
      <c r="C277" s="49" t="str">
        <f aca="false">HYPERLINK("https://www.emi-penza.ru/p/575.3777-02", "575.3777-02")</f>
        <v>575.3777-02</v>
      </c>
      <c r="D277" s="50"/>
      <c r="E277" s="50"/>
      <c r="F277" s="50"/>
      <c r="G277" s="50"/>
      <c r="H277" s="50"/>
      <c r="I277" s="53"/>
      <c r="J277" s="51" t="s">
        <v>156</v>
      </c>
      <c r="K277" s="51" t="str">
        <f aca="false">HYPERLINK("https://pub.fsa.gov.ru/rds/declaration/view/18948803/common", "ЕАЭС N RU Д-RU.РА04.В.68862/24")</f>
        <v>ЕАЭС N RU Д-RU.РА04.В.68862/24</v>
      </c>
      <c r="L277" s="52"/>
      <c r="M277" s="51"/>
      <c r="N277" s="53" t="s">
        <v>157</v>
      </c>
      <c r="O277" s="53" t="s">
        <v>158</v>
      </c>
    </row>
    <row r="278" customFormat="false" ht="15" hidden="false" customHeight="true" outlineLevel="0" collapsed="false">
      <c r="B278" s="3"/>
      <c r="C278" s="55"/>
      <c r="D278" s="56"/>
      <c r="E278" s="56"/>
      <c r="F278" s="56"/>
      <c r="G278" s="56"/>
      <c r="H278" s="56"/>
      <c r="I278" s="59"/>
      <c r="J278" s="57"/>
      <c r="K278" s="57"/>
      <c r="L278" s="58"/>
      <c r="M278" s="57"/>
      <c r="N278" s="59"/>
      <c r="O278" s="59"/>
    </row>
    <row r="279" customFormat="false" ht="14.15" hidden="false" customHeight="true" outlineLevel="0" collapsed="false">
      <c r="B279" s="96"/>
      <c r="C279" s="49" t="str">
        <f aca="false">HYPERLINK("https://www.emi-penza.ru/p/641.3777", "641.3777")</f>
        <v>641.3777</v>
      </c>
      <c r="D279" s="50" t="s">
        <v>172</v>
      </c>
      <c r="E279" s="50"/>
      <c r="F279" s="50"/>
      <c r="G279" s="50"/>
      <c r="H279" s="50"/>
      <c r="I279" s="53"/>
      <c r="J279" s="51" t="s">
        <v>156</v>
      </c>
      <c r="K279" s="51" t="str">
        <f aca="false">HYPERLINK("https://pub.fsa.gov.ru/rds/declaration/view/18948803/common", "ЕАЭС N RU Д-RU.РА04.В.68862/24")</f>
        <v>ЕАЭС N RU Д-RU.РА04.В.68862/24</v>
      </c>
      <c r="L279" s="52"/>
      <c r="M279" s="51"/>
      <c r="N279" s="53" t="s">
        <v>157</v>
      </c>
      <c r="O279" s="53" t="s">
        <v>158</v>
      </c>
    </row>
    <row r="280" customFormat="false" ht="15" hidden="false" customHeight="true" outlineLevel="0" collapsed="false">
      <c r="B280" s="3"/>
      <c r="C280" s="55"/>
      <c r="D280" s="56" t="s">
        <v>173</v>
      </c>
      <c r="E280" s="56"/>
      <c r="F280" s="56"/>
      <c r="G280" s="56"/>
      <c r="H280" s="56"/>
      <c r="I280" s="59"/>
      <c r="J280" s="57"/>
      <c r="K280" s="57"/>
      <c r="L280" s="58"/>
      <c r="M280" s="57"/>
      <c r="N280" s="59"/>
      <c r="O280" s="59"/>
    </row>
    <row r="281" customFormat="false" ht="18.15" hidden="false" customHeight="true" outlineLevel="0" collapsed="false">
      <c r="B281" s="40"/>
      <c r="C281" s="43" t="str">
        <f aca="false">HYPERLINK("https://www.emi-penza.ru/p/642.3777", "642.3777")</f>
        <v>642.3777</v>
      </c>
      <c r="D281" s="44" t="s">
        <v>174</v>
      </c>
      <c r="E281" s="44"/>
      <c r="F281" s="44"/>
      <c r="G281" s="44"/>
      <c r="H281" s="44"/>
      <c r="I281" s="47"/>
      <c r="J281" s="45" t="s">
        <v>156</v>
      </c>
      <c r="K281" s="45" t="str">
        <f aca="false">HYPERLINK("https://pub.fsa.gov.ru/rds/declaration/view/18948803/common", "ЕАЭС N RU Д-RU.РА04.В.68862/24")</f>
        <v>ЕАЭС N RU Д-RU.РА04.В.68862/24</v>
      </c>
      <c r="L281" s="46"/>
      <c r="M281" s="45"/>
      <c r="N281" s="47" t="s">
        <v>157</v>
      </c>
      <c r="O281" s="47" t="s">
        <v>158</v>
      </c>
    </row>
    <row r="282" customFormat="false" ht="18.15" hidden="false" customHeight="true" outlineLevel="0" collapsed="false">
      <c r="B282" s="40"/>
      <c r="C282" s="43" t="str">
        <f aca="false">HYPERLINK("https://www.emi-penza.ru/p/642.3777_M", "642.3777 М")</f>
        <v>642.3777 М</v>
      </c>
      <c r="D282" s="44" t="s">
        <v>174</v>
      </c>
      <c r="E282" s="44"/>
      <c r="F282" s="44"/>
      <c r="G282" s="44"/>
      <c r="H282" s="44"/>
      <c r="I282" s="47"/>
      <c r="J282" s="45" t="s">
        <v>156</v>
      </c>
      <c r="K282" s="45" t="str">
        <f aca="false">HYPERLINK("https://pub.fsa.gov.ru/rds/declaration/view/18948803/common", "ЕАЭС N RU Д-RU.РА04.В.68862/24")</f>
        <v>ЕАЭС N RU Д-RU.РА04.В.68862/24</v>
      </c>
      <c r="L282" s="46"/>
      <c r="M282" s="45"/>
      <c r="N282" s="47" t="s">
        <v>157</v>
      </c>
      <c r="O282" s="47" t="s">
        <v>158</v>
      </c>
    </row>
    <row r="283" customFormat="false" ht="18.15" hidden="false" customHeight="true" outlineLevel="0" collapsed="false">
      <c r="B283" s="40"/>
      <c r="C283" s="43" t="str">
        <f aca="false">HYPERLINK("https://www.emi-penza.ru/p/642.3777-01", "642.3777-01")</f>
        <v>642.3777-01</v>
      </c>
      <c r="D283" s="44" t="s">
        <v>175</v>
      </c>
      <c r="E283" s="44"/>
      <c r="F283" s="44"/>
      <c r="G283" s="44"/>
      <c r="H283" s="44"/>
      <c r="I283" s="47"/>
      <c r="J283" s="45" t="s">
        <v>156</v>
      </c>
      <c r="K283" s="45" t="str">
        <f aca="false">HYPERLINK("https://pub.fsa.gov.ru/rds/declaration/view/18948803/common", "ЕАЭС N RU Д-RU.РА04.В.68862/24")</f>
        <v>ЕАЭС N RU Д-RU.РА04.В.68862/24</v>
      </c>
      <c r="L283" s="46"/>
      <c r="M283" s="45"/>
      <c r="N283" s="47" t="s">
        <v>157</v>
      </c>
      <c r="O283" s="47" t="s">
        <v>158</v>
      </c>
    </row>
    <row r="284" customFormat="false" ht="18.15" hidden="false" customHeight="true" outlineLevel="0" collapsed="false">
      <c r="B284" s="40"/>
      <c r="C284" s="43" t="str">
        <f aca="false">HYPERLINK("https://www.emi-penza.ru/p/642.3777-01_M", "642.3777-01 М")</f>
        <v>642.3777-01 М</v>
      </c>
      <c r="D284" s="44" t="s">
        <v>175</v>
      </c>
      <c r="E284" s="44"/>
      <c r="F284" s="44"/>
      <c r="G284" s="44"/>
      <c r="H284" s="44"/>
      <c r="I284" s="47"/>
      <c r="J284" s="45" t="s">
        <v>156</v>
      </c>
      <c r="K284" s="45" t="str">
        <f aca="false">HYPERLINK("https://pub.fsa.gov.ru/rds/declaration/view/18948803/common", "ЕАЭС N RU Д-RU.РА04.В.68862/24")</f>
        <v>ЕАЭС N RU Д-RU.РА04.В.68862/24</v>
      </c>
      <c r="L284" s="46"/>
      <c r="M284" s="45"/>
      <c r="N284" s="47" t="s">
        <v>157</v>
      </c>
      <c r="O284" s="47" t="s">
        <v>158</v>
      </c>
    </row>
    <row r="285" customFormat="false" ht="18.15" hidden="false" customHeight="true" outlineLevel="0" collapsed="false">
      <c r="B285" s="40"/>
      <c r="C285" s="43" t="str">
        <f aca="false">HYPERLINK("https://www.emi-penza.ru/p/642.3777-02", "642.3777-02")</f>
        <v>642.3777-02</v>
      </c>
      <c r="D285" s="44" t="s">
        <v>176</v>
      </c>
      <c r="E285" s="44"/>
      <c r="F285" s="44"/>
      <c r="G285" s="44"/>
      <c r="H285" s="44"/>
      <c r="I285" s="47"/>
      <c r="J285" s="45" t="s">
        <v>156</v>
      </c>
      <c r="K285" s="45" t="str">
        <f aca="false">HYPERLINK("https://pub.fsa.gov.ru/rds/declaration/view/18948803/common", "ЕАЭС N RU Д-RU.РА04.В.68862/24")</f>
        <v>ЕАЭС N RU Д-RU.РА04.В.68862/24</v>
      </c>
      <c r="L285" s="46"/>
      <c r="M285" s="45"/>
      <c r="N285" s="47" t="s">
        <v>157</v>
      </c>
      <c r="O285" s="47" t="s">
        <v>158</v>
      </c>
    </row>
    <row r="286" customFormat="false" ht="14.15" hidden="false" customHeight="true" outlineLevel="0" collapsed="false">
      <c r="B286" s="96"/>
      <c r="C286" s="49" t="str">
        <f aca="false">HYPERLINK("https://www.emi-penza.ru/p/642.3777-03", "642.3777-03")</f>
        <v>642.3777-03</v>
      </c>
      <c r="D286" s="50" t="s">
        <v>177</v>
      </c>
      <c r="E286" s="50"/>
      <c r="F286" s="50"/>
      <c r="G286" s="50"/>
      <c r="H286" s="50"/>
      <c r="I286" s="53"/>
      <c r="J286" s="51" t="s">
        <v>156</v>
      </c>
      <c r="K286" s="51" t="str">
        <f aca="false">HYPERLINK("https://pub.fsa.gov.ru/rds/declaration/view/18948803/common", "ЕАЭС N RU Д-RU.РА04.В.68862/24")</f>
        <v>ЕАЭС N RU Д-RU.РА04.В.68862/24</v>
      </c>
      <c r="L286" s="52"/>
      <c r="M286" s="51"/>
      <c r="N286" s="53" t="s">
        <v>157</v>
      </c>
      <c r="O286" s="53" t="s">
        <v>158</v>
      </c>
    </row>
    <row r="287" customFormat="false" ht="15" hidden="false" customHeight="true" outlineLevel="0" collapsed="false">
      <c r="B287" s="3"/>
      <c r="C287" s="55"/>
      <c r="D287" s="56" t="s">
        <v>178</v>
      </c>
      <c r="E287" s="56"/>
      <c r="F287" s="56"/>
      <c r="G287" s="56"/>
      <c r="H287" s="56"/>
      <c r="I287" s="59"/>
      <c r="J287" s="57"/>
      <c r="K287" s="57"/>
      <c r="L287" s="58"/>
      <c r="M287" s="57"/>
      <c r="N287" s="59"/>
      <c r="O287" s="59"/>
    </row>
    <row r="288" customFormat="false" ht="14.15" hidden="false" customHeight="true" outlineLevel="0" collapsed="false">
      <c r="B288" s="96"/>
      <c r="C288" s="49" t="str">
        <f aca="false">HYPERLINK("https://www.emi-penza.ru/p/642.3777-03_M", "642.3777-03 М")</f>
        <v>642.3777-03 М</v>
      </c>
      <c r="D288" s="50" t="s">
        <v>177</v>
      </c>
      <c r="E288" s="50"/>
      <c r="F288" s="50"/>
      <c r="G288" s="50"/>
      <c r="H288" s="50"/>
      <c r="I288" s="53"/>
      <c r="J288" s="51" t="s">
        <v>156</v>
      </c>
      <c r="K288" s="51" t="str">
        <f aca="false">HYPERLINK("https://pub.fsa.gov.ru/rds/declaration/view/18948803/common", "ЕАЭС N RU Д-RU.РА04.В.68862/24")</f>
        <v>ЕАЭС N RU Д-RU.РА04.В.68862/24</v>
      </c>
      <c r="L288" s="52"/>
      <c r="M288" s="51"/>
      <c r="N288" s="53" t="s">
        <v>157</v>
      </c>
      <c r="O288" s="53" t="s">
        <v>158</v>
      </c>
    </row>
    <row r="289" customFormat="false" ht="15" hidden="false" customHeight="true" outlineLevel="0" collapsed="false">
      <c r="B289" s="3"/>
      <c r="C289" s="55"/>
      <c r="D289" s="56" t="s">
        <v>178</v>
      </c>
      <c r="E289" s="56"/>
      <c r="F289" s="56"/>
      <c r="G289" s="56"/>
      <c r="H289" s="56"/>
      <c r="I289" s="59"/>
      <c r="J289" s="57"/>
      <c r="K289" s="57"/>
      <c r="L289" s="58"/>
      <c r="M289" s="57"/>
      <c r="N289" s="59"/>
      <c r="O289" s="59"/>
    </row>
    <row r="290" customFormat="false" ht="14.15" hidden="false" customHeight="true" outlineLevel="0" collapsed="false">
      <c r="B290" s="48"/>
      <c r="C290" s="49" t="str">
        <f aca="false">HYPERLINK("https://www.emi-penza.ru/p/642.3777-04", "642.3777-04")</f>
        <v>642.3777-04</v>
      </c>
      <c r="D290" s="50" t="s">
        <v>179</v>
      </c>
      <c r="E290" s="50"/>
      <c r="F290" s="50"/>
      <c r="G290" s="50"/>
      <c r="H290" s="50"/>
      <c r="I290" s="53"/>
      <c r="J290" s="51" t="s">
        <v>156</v>
      </c>
      <c r="K290" s="51" t="str">
        <f aca="false">HYPERLINK("https://pub.fsa.gov.ru/rds/declaration/view/18948803/common", "ЕАЭС N RU Д-RU.РА04.В.68862/24")</f>
        <v>ЕАЭС N RU Д-RU.РА04.В.68862/24</v>
      </c>
      <c r="L290" s="52"/>
      <c r="M290" s="51"/>
      <c r="N290" s="53" t="s">
        <v>157</v>
      </c>
      <c r="O290" s="53" t="s">
        <v>158</v>
      </c>
    </row>
    <row r="291" customFormat="false" ht="15" hidden="false" customHeight="true" outlineLevel="0" collapsed="false">
      <c r="B291" s="3"/>
      <c r="C291" s="55"/>
      <c r="D291" s="56"/>
      <c r="E291" s="56"/>
      <c r="F291" s="56"/>
      <c r="G291" s="56"/>
      <c r="H291" s="56"/>
      <c r="I291" s="59"/>
      <c r="J291" s="57"/>
      <c r="K291" s="57"/>
      <c r="L291" s="58"/>
      <c r="M291" s="57"/>
      <c r="N291" s="59"/>
      <c r="O291" s="59"/>
    </row>
    <row r="292" customFormat="false" ht="18.15" hidden="false" customHeight="true" outlineLevel="0" collapsed="false">
      <c r="B292" s="42"/>
      <c r="C292" s="43" t="str">
        <f aca="false">HYPERLINK("https://www.emi-penza.ru/p/642.3777-04_M", "642.3777-04 М")</f>
        <v>642.3777-04 М</v>
      </c>
      <c r="D292" s="44" t="s">
        <v>180</v>
      </c>
      <c r="E292" s="44"/>
      <c r="F292" s="44"/>
      <c r="G292" s="44"/>
      <c r="H292" s="44"/>
      <c r="I292" s="47"/>
      <c r="J292" s="45" t="s">
        <v>156</v>
      </c>
      <c r="K292" s="45" t="str">
        <f aca="false">HYPERLINK("https://pub.fsa.gov.ru/rds/declaration/view/18948803/common", "ЕАЭС N RU Д-RU.РА04.В.68862/24")</f>
        <v>ЕАЭС N RU Д-RU.РА04.В.68862/24</v>
      </c>
      <c r="L292" s="46"/>
      <c r="M292" s="45"/>
      <c r="N292" s="47" t="s">
        <v>157</v>
      </c>
      <c r="O292" s="47" t="s">
        <v>158</v>
      </c>
    </row>
    <row r="293" customFormat="false" ht="14.15" hidden="false" customHeight="true" outlineLevel="0" collapsed="false">
      <c r="B293" s="48"/>
      <c r="C293" s="49" t="str">
        <f aca="false">HYPERLINK("https://www.emi-penza.ru/p/642.3777-05 LED", "642.3777-05 LED")</f>
        <v>642.3777-05 LED</v>
      </c>
      <c r="D293" s="50"/>
      <c r="E293" s="50"/>
      <c r="F293" s="50"/>
      <c r="G293" s="50"/>
      <c r="H293" s="50"/>
      <c r="I293" s="53"/>
      <c r="J293" s="51" t="s">
        <v>156</v>
      </c>
      <c r="K293" s="51" t="str">
        <f aca="false">HYPERLINK("https://pub.fsa.gov.ru/rds/declaration/view/18948803/common", "ЕАЭС N RU Д-RU.РА04.В.68862/24")</f>
        <v>ЕАЭС N RU Д-RU.РА04.В.68862/24</v>
      </c>
      <c r="L293" s="52"/>
      <c r="M293" s="51"/>
      <c r="N293" s="53" t="s">
        <v>157</v>
      </c>
      <c r="O293" s="53" t="s">
        <v>158</v>
      </c>
    </row>
    <row r="294" customFormat="false" ht="15" hidden="false" customHeight="true" outlineLevel="0" collapsed="false">
      <c r="B294" s="3"/>
      <c r="C294" s="55"/>
      <c r="D294" s="56"/>
      <c r="E294" s="56"/>
      <c r="F294" s="56"/>
      <c r="G294" s="56"/>
      <c r="H294" s="56"/>
      <c r="I294" s="59"/>
      <c r="J294" s="57"/>
      <c r="K294" s="57"/>
      <c r="L294" s="58"/>
      <c r="M294" s="57"/>
      <c r="N294" s="59"/>
      <c r="O294" s="59"/>
    </row>
    <row r="295" customFormat="false" ht="14.15" hidden="false" customHeight="true" outlineLevel="0" collapsed="false">
      <c r="B295" s="48" t="s">
        <v>7</v>
      </c>
      <c r="C295" s="49" t="str">
        <f aca="false">HYPERLINK("https://www.emi-penza.ru/p/642.3777-06 LED", "642.3777-06 LED")</f>
        <v>642.3777-06 LED</v>
      </c>
      <c r="D295" s="50"/>
      <c r="E295" s="50"/>
      <c r="F295" s="50"/>
      <c r="G295" s="50"/>
      <c r="H295" s="50"/>
      <c r="I295" s="53"/>
      <c r="J295" s="51" t="s">
        <v>156</v>
      </c>
      <c r="K295" s="51" t="str">
        <f aca="false">HYPERLINK("https://pub.fsa.gov.ru/rds/declaration/view/18948803/common", "ЕАЭС N RU Д-RU.РА04.В.68862/24")</f>
        <v>ЕАЭС N RU Д-RU.РА04.В.68862/24</v>
      </c>
      <c r="L295" s="52"/>
      <c r="M295" s="51"/>
      <c r="N295" s="53" t="s">
        <v>157</v>
      </c>
      <c r="O295" s="53" t="s">
        <v>158</v>
      </c>
    </row>
    <row r="296" customFormat="false" ht="15" hidden="false" customHeight="true" outlineLevel="0" collapsed="false">
      <c r="B296" s="3"/>
      <c r="C296" s="55"/>
      <c r="D296" s="56"/>
      <c r="E296" s="56"/>
      <c r="F296" s="56"/>
      <c r="G296" s="56"/>
      <c r="H296" s="56"/>
      <c r="I296" s="59"/>
      <c r="J296" s="57"/>
      <c r="K296" s="57"/>
      <c r="L296" s="58"/>
      <c r="M296" s="57"/>
      <c r="N296" s="59"/>
      <c r="O296" s="59"/>
    </row>
    <row r="297" customFormat="false" ht="18.15" hidden="false" customHeight="true" outlineLevel="0" collapsed="false">
      <c r="B297" s="40"/>
      <c r="C297" s="43" t="str">
        <f aca="false">HYPERLINK("https://www.emi-penza.ru/p/643.3777", "643.3777")</f>
        <v>643.3777</v>
      </c>
      <c r="D297" s="44" t="s">
        <v>181</v>
      </c>
      <c r="E297" s="44"/>
      <c r="F297" s="44"/>
      <c r="G297" s="44"/>
      <c r="H297" s="44"/>
      <c r="I297" s="47"/>
      <c r="J297" s="45" t="s">
        <v>156</v>
      </c>
      <c r="K297" s="45" t="str">
        <f aca="false">HYPERLINK("https://pub.fsa.gov.ru/rds/declaration/view/18948803/common", "ЕАЭС N RU Д-RU.РА04.В.68862/24")</f>
        <v>ЕАЭС N RU Д-RU.РА04.В.68862/24</v>
      </c>
      <c r="L297" s="46"/>
      <c r="M297" s="45"/>
      <c r="N297" s="47" t="s">
        <v>157</v>
      </c>
      <c r="O297" s="47" t="s">
        <v>158</v>
      </c>
    </row>
    <row r="298" customFormat="false" ht="18.15" hidden="false" customHeight="true" outlineLevel="0" collapsed="false">
      <c r="B298" s="40"/>
      <c r="C298" s="43" t="str">
        <f aca="false">HYPERLINK("https://www.emi-penza.ru/p/643.3777-01", "643.3777-01")</f>
        <v>643.3777-01</v>
      </c>
      <c r="D298" s="44" t="s">
        <v>181</v>
      </c>
      <c r="E298" s="44"/>
      <c r="F298" s="44"/>
      <c r="G298" s="44"/>
      <c r="H298" s="44"/>
      <c r="I298" s="47"/>
      <c r="J298" s="45" t="s">
        <v>156</v>
      </c>
      <c r="K298" s="45" t="str">
        <f aca="false">HYPERLINK("https://pub.fsa.gov.ru/rds/declaration/view/18948803/common", "ЕАЭС N RU Д-RU.РА04.В.68862/24")</f>
        <v>ЕАЭС N RU Д-RU.РА04.В.68862/24</v>
      </c>
      <c r="L298" s="46"/>
      <c r="M298" s="45"/>
      <c r="N298" s="47" t="s">
        <v>157</v>
      </c>
      <c r="O298" s="47" t="s">
        <v>158</v>
      </c>
    </row>
    <row r="299" customFormat="false" ht="18.15" hidden="false" customHeight="true" outlineLevel="0" collapsed="false">
      <c r="B299" s="42"/>
      <c r="C299" s="43" t="str">
        <f aca="false">HYPERLINK("https://www.emi-penza.ru/p/643.3777-02", "643.3777-02")</f>
        <v>643.3777-02</v>
      </c>
      <c r="D299" s="44"/>
      <c r="E299" s="44"/>
      <c r="F299" s="44"/>
      <c r="G299" s="44"/>
      <c r="H299" s="44"/>
      <c r="I299" s="47"/>
      <c r="J299" s="45" t="s">
        <v>156</v>
      </c>
      <c r="K299" s="45" t="str">
        <f aca="false">HYPERLINK("https://pub.fsa.gov.ru/rds/declaration/view/18948803/common", "ЕАЭС N RU Д-RU.РА04.В.68862/24")</f>
        <v>ЕАЭС N RU Д-RU.РА04.В.68862/24</v>
      </c>
      <c r="L299" s="46"/>
      <c r="M299" s="45"/>
      <c r="N299" s="47" t="s">
        <v>157</v>
      </c>
      <c r="O299" s="47" t="s">
        <v>158</v>
      </c>
    </row>
    <row r="300" customFormat="false" ht="18.15" hidden="false" customHeight="true" outlineLevel="0" collapsed="false">
      <c r="B300" s="40"/>
      <c r="C300" s="43" t="str">
        <f aca="false">HYPERLINK("https://www.emi-penza.ru/p/644.3777", "644.3777")</f>
        <v>644.3777</v>
      </c>
      <c r="D300" s="44" t="s">
        <v>165</v>
      </c>
      <c r="E300" s="44"/>
      <c r="F300" s="44"/>
      <c r="G300" s="44"/>
      <c r="H300" s="44"/>
      <c r="I300" s="47"/>
      <c r="J300" s="45" t="s">
        <v>156</v>
      </c>
      <c r="K300" s="45" t="str">
        <f aca="false">HYPERLINK("https://pub.fsa.gov.ru/rds/declaration/view/18948803/common", "ЕАЭС N RU Д-RU.РА04.В.68862/24")</f>
        <v>ЕАЭС N RU Д-RU.РА04.В.68862/24</v>
      </c>
      <c r="L300" s="46"/>
      <c r="M300" s="45"/>
      <c r="N300" s="47" t="s">
        <v>157</v>
      </c>
      <c r="O300" s="47" t="s">
        <v>158</v>
      </c>
    </row>
    <row r="301" customFormat="false" ht="14.15" hidden="false" customHeight="true" outlineLevel="0" collapsed="false">
      <c r="B301" s="96"/>
      <c r="C301" s="49" t="str">
        <f aca="false">HYPERLINK("https://www.emi-penza.ru/p/644.3777-01", "644.3777-01")</f>
        <v>644.3777-01</v>
      </c>
      <c r="D301" s="50" t="s">
        <v>182</v>
      </c>
      <c r="E301" s="50"/>
      <c r="F301" s="50"/>
      <c r="G301" s="50"/>
      <c r="H301" s="50"/>
      <c r="I301" s="53"/>
      <c r="J301" s="51" t="s">
        <v>156</v>
      </c>
      <c r="K301" s="51" t="str">
        <f aca="false">HYPERLINK("https://pub.fsa.gov.ru/rds/declaration/view/18948803/common", "ЕАЭС N RU Д-RU.РА04.В.68862/24")</f>
        <v>ЕАЭС N RU Д-RU.РА04.В.68862/24</v>
      </c>
      <c r="L301" s="52"/>
      <c r="M301" s="51"/>
      <c r="N301" s="53" t="s">
        <v>157</v>
      </c>
      <c r="O301" s="53" t="s">
        <v>158</v>
      </c>
    </row>
    <row r="302" customFormat="false" ht="15" hidden="false" customHeight="true" outlineLevel="0" collapsed="false">
      <c r="B302" s="3"/>
      <c r="C302" s="55"/>
      <c r="D302" s="56" t="s">
        <v>183</v>
      </c>
      <c r="E302" s="56"/>
      <c r="F302" s="56"/>
      <c r="G302" s="56"/>
      <c r="H302" s="56"/>
      <c r="I302" s="59"/>
      <c r="J302" s="57"/>
      <c r="K302" s="57"/>
      <c r="L302" s="58"/>
      <c r="M302" s="57"/>
      <c r="N302" s="59"/>
      <c r="O302" s="59"/>
    </row>
    <row r="303" customFormat="false" ht="18.15" hidden="false" customHeight="true" outlineLevel="0" collapsed="false">
      <c r="B303" s="40"/>
      <c r="C303" s="43" t="str">
        <f aca="false">HYPERLINK("https://www.emi-penza.ru/p/644.3777-02 LED", "644.3777-02 LED")</f>
        <v>644.3777-02 LED</v>
      </c>
      <c r="D303" s="44" t="s">
        <v>184</v>
      </c>
      <c r="E303" s="44"/>
      <c r="F303" s="44"/>
      <c r="G303" s="44"/>
      <c r="H303" s="44"/>
      <c r="I303" s="47"/>
      <c r="J303" s="45" t="s">
        <v>156</v>
      </c>
      <c r="K303" s="45" t="str">
        <f aca="false">HYPERLINK("https://pub.fsa.gov.ru/rds/declaration/view/18948803/common", "ЕАЭС N RU Д-RU.РА04.В.68862/24")</f>
        <v>ЕАЭС N RU Д-RU.РА04.В.68862/24</v>
      </c>
      <c r="L303" s="46"/>
      <c r="M303" s="45"/>
      <c r="N303" s="47" t="s">
        <v>157</v>
      </c>
      <c r="O303" s="47" t="s">
        <v>158</v>
      </c>
    </row>
    <row r="304" customFormat="false" ht="14.15" hidden="false" customHeight="true" outlineLevel="0" collapsed="false">
      <c r="B304" s="48" t="s">
        <v>7</v>
      </c>
      <c r="C304" s="49" t="str">
        <f aca="false">HYPERLINK("https://www.emi-penza.ru/p/644.3777-04 LED", "644.3777-04 LED")</f>
        <v>644.3777-04 LED</v>
      </c>
      <c r="D304" s="50"/>
      <c r="E304" s="50"/>
      <c r="F304" s="50"/>
      <c r="G304" s="50"/>
      <c r="H304" s="50"/>
      <c r="I304" s="53"/>
      <c r="J304" s="51"/>
      <c r="K304" s="51"/>
      <c r="L304" s="52"/>
      <c r="M304" s="51"/>
      <c r="N304" s="53"/>
      <c r="O304" s="53"/>
    </row>
    <row r="305" customFormat="false" ht="15" hidden="false" customHeight="true" outlineLevel="0" collapsed="false">
      <c r="B305" s="3"/>
      <c r="C305" s="55"/>
      <c r="D305" s="56"/>
      <c r="E305" s="56"/>
      <c r="F305" s="56"/>
      <c r="G305" s="56"/>
      <c r="H305" s="56"/>
      <c r="I305" s="59"/>
      <c r="J305" s="57"/>
      <c r="K305" s="57"/>
      <c r="L305" s="58"/>
      <c r="M305" s="57"/>
      <c r="N305" s="59"/>
      <c r="O305" s="59"/>
    </row>
    <row r="306" customFormat="false" ht="14.15" hidden="false" customHeight="true" outlineLevel="0" collapsed="false">
      <c r="B306" s="48" t="s">
        <v>7</v>
      </c>
      <c r="C306" s="70" t="str">
        <f aca="false">HYPERLINK("https://www.emi-penza.ru/p/644.3777-05", "644.3777-05")</f>
        <v>644.3777-05</v>
      </c>
      <c r="D306" s="98" t="s">
        <v>185</v>
      </c>
      <c r="E306" s="71"/>
      <c r="F306" s="71"/>
      <c r="G306" s="71"/>
      <c r="H306" s="71"/>
      <c r="I306" s="74"/>
      <c r="J306" s="73" t="s">
        <v>156</v>
      </c>
      <c r="K306" s="73" t="str">
        <f aca="false">HYPERLINK("https://pub.fsa.gov.ru/rds/declaration/view/18948803/common", "ЕАЭС N RU Д-RU.РА04.В.68862/24")</f>
        <v>ЕАЭС N RU Д-RU.РА04.В.68862/24</v>
      </c>
      <c r="L306" s="72"/>
      <c r="M306" s="73"/>
      <c r="N306" s="74" t="s">
        <v>157</v>
      </c>
      <c r="O306" s="74" t="s">
        <v>158</v>
      </c>
    </row>
    <row r="307" customFormat="false" ht="15" hidden="false" customHeight="true" outlineLevel="0" collapsed="false">
      <c r="B307" s="74"/>
      <c r="C307" s="99"/>
      <c r="D307" s="100"/>
      <c r="E307" s="100"/>
      <c r="F307" s="100"/>
      <c r="G307" s="100"/>
      <c r="H307" s="100"/>
      <c r="I307" s="101"/>
      <c r="J307" s="102"/>
      <c r="K307" s="102"/>
      <c r="L307" s="103"/>
      <c r="M307" s="102"/>
      <c r="N307" s="101"/>
      <c r="O307" s="101"/>
    </row>
    <row r="308" customFormat="false" ht="9.95" hidden="false" customHeight="true" outlineLevel="0" collapsed="false">
      <c r="B308" s="74"/>
      <c r="N308" s="3"/>
      <c r="O308" s="3"/>
    </row>
    <row r="309" customFormat="false" ht="22.7" hidden="false" customHeight="true" outlineLevel="0" collapsed="false">
      <c r="B309" s="3"/>
      <c r="C309" s="35" t="s">
        <v>186</v>
      </c>
      <c r="D309" s="36"/>
      <c r="E309" s="36"/>
      <c r="F309" s="36"/>
      <c r="G309" s="36"/>
      <c r="H309" s="36"/>
      <c r="I309" s="36"/>
      <c r="J309" s="37"/>
      <c r="K309" s="37"/>
      <c r="L309" s="38"/>
      <c r="M309" s="37"/>
      <c r="N309" s="80"/>
      <c r="O309" s="80"/>
    </row>
    <row r="310" customFormat="false" ht="2.85" hidden="false" customHeight="true" outlineLevel="0" collapsed="false">
      <c r="B310" s="3"/>
      <c r="N310" s="3"/>
      <c r="O310" s="3"/>
    </row>
    <row r="311" customFormat="false" ht="13.3" hidden="false" customHeight="true" outlineLevel="0" collapsed="false">
      <c r="B311" s="40" t="s">
        <v>7</v>
      </c>
      <c r="C311" s="41" t="s">
        <v>8</v>
      </c>
      <c r="N311" s="3"/>
      <c r="O311" s="3"/>
    </row>
    <row r="312" customFormat="false" ht="18.15" hidden="false" customHeight="true" outlineLevel="0" collapsed="false">
      <c r="B312" s="42"/>
      <c r="C312" s="43" t="str">
        <f aca="false">HYPERLINK("https://www.emi-penza.ru/p/BUK-01", "БУК-01")</f>
        <v>БУК-01</v>
      </c>
      <c r="D312" s="44"/>
      <c r="E312" s="44"/>
      <c r="F312" s="44"/>
      <c r="G312" s="44"/>
      <c r="H312" s="44"/>
      <c r="I312" s="47"/>
      <c r="J312" s="45"/>
      <c r="K312" s="45"/>
      <c r="L312" s="46"/>
      <c r="M312" s="45"/>
      <c r="N312" s="47"/>
      <c r="O312" s="47"/>
    </row>
    <row r="313" customFormat="false" ht="14.15" hidden="false" customHeight="true" outlineLevel="0" collapsed="false">
      <c r="B313" s="48"/>
      <c r="C313" s="49" t="str">
        <f aca="false">HYPERLINK("https://www.emi-penza.ru/p/48.3787", "48.3787")</f>
        <v>48.3787</v>
      </c>
      <c r="D313" s="50" t="s">
        <v>187</v>
      </c>
      <c r="E313" s="50"/>
      <c r="F313" s="50"/>
      <c r="G313" s="50"/>
      <c r="H313" s="50"/>
      <c r="I313" s="53"/>
      <c r="J313" s="51" t="s">
        <v>156</v>
      </c>
      <c r="K313" s="51" t="str">
        <f aca="false">HYPERLINK("https://pub.fsa.gov.ru/rds/declaration/view/18948803/common", "ЕАЭС N RU Д-RU.РА04.В.68862/24")</f>
        <v>ЕАЭС N RU Д-RU.РА04.В.68862/24</v>
      </c>
      <c r="L313" s="52"/>
      <c r="M313" s="51"/>
      <c r="N313" s="53" t="s">
        <v>157</v>
      </c>
      <c r="O313" s="53" t="s">
        <v>158</v>
      </c>
    </row>
    <row r="314" customFormat="false" ht="15" hidden="false" customHeight="true" outlineLevel="0" collapsed="false">
      <c r="B314" s="54"/>
      <c r="C314" s="55"/>
      <c r="D314" s="56"/>
      <c r="E314" s="56"/>
      <c r="F314" s="56"/>
      <c r="G314" s="56"/>
      <c r="H314" s="94" t="s">
        <v>124</v>
      </c>
      <c r="I314" s="59"/>
      <c r="J314" s="57"/>
      <c r="K314" s="57"/>
      <c r="L314" s="58"/>
      <c r="M314" s="57"/>
      <c r="N314" s="59"/>
      <c r="O314" s="59"/>
    </row>
    <row r="315" customFormat="false" ht="14.15" hidden="false" customHeight="true" outlineLevel="0" collapsed="false">
      <c r="B315" s="48"/>
      <c r="C315" s="49" t="str">
        <f aca="false">HYPERLINK("https://www.emi-penza.ru/p/48.3787-01", "48.3787-01")</f>
        <v>48.3787-01</v>
      </c>
      <c r="D315" s="1" t="s">
        <v>188</v>
      </c>
      <c r="E315" s="50"/>
      <c r="F315" s="50"/>
      <c r="G315" s="50"/>
      <c r="H315" s="50"/>
      <c r="I315" s="53"/>
      <c r="J315" s="51" t="s">
        <v>156</v>
      </c>
      <c r="K315" s="51" t="str">
        <f aca="false">HYPERLINK("https://pub.fsa.gov.ru/rds/declaration/view/18948803/common", "ЕАЭС N RU Д-RU.РА04.В.68862/24")</f>
        <v>ЕАЭС N RU Д-RU.РА04.В.68862/24</v>
      </c>
      <c r="L315" s="52"/>
      <c r="M315" s="51"/>
      <c r="N315" s="53" t="s">
        <v>157</v>
      </c>
      <c r="O315" s="53" t="s">
        <v>158</v>
      </c>
    </row>
    <row r="316" customFormat="false" ht="15" hidden="false" customHeight="true" outlineLevel="0" collapsed="false">
      <c r="B316" s="54"/>
      <c r="C316" s="55"/>
      <c r="D316" s="56" t="s">
        <v>189</v>
      </c>
      <c r="E316" s="56"/>
      <c r="F316" s="56"/>
      <c r="G316" s="56"/>
      <c r="H316" s="94"/>
      <c r="I316" s="59"/>
      <c r="J316" s="57"/>
      <c r="K316" s="57"/>
      <c r="L316" s="58"/>
      <c r="M316" s="57"/>
      <c r="N316" s="59"/>
      <c r="O316" s="59"/>
    </row>
    <row r="317" customFormat="false" ht="15" hidden="false" customHeight="true" outlineLevel="0" collapsed="false">
      <c r="B317" s="42" t="s">
        <v>7</v>
      </c>
      <c r="C317" s="43" t="str">
        <f aca="false">HYPERLINK("https://www.emi-penza.ru/p/48.3787-03", "48.3787-03")</f>
        <v>48.3787-03</v>
      </c>
      <c r="D317" s="44" t="s">
        <v>187</v>
      </c>
      <c r="E317" s="44"/>
      <c r="F317" s="44"/>
      <c r="G317" s="44"/>
      <c r="H317" s="44"/>
      <c r="I317" s="47"/>
      <c r="J317" s="45" t="s">
        <v>156</v>
      </c>
      <c r="K317" s="45" t="str">
        <f aca="false">HYPERLINK("https://pub.fsa.gov.ru/rds/declaration/view/18948803/common", "ЕАЭС N RU Д-RU.РА04.В.68862/24")</f>
        <v>ЕАЭС N RU Д-RU.РА04.В.68862/24</v>
      </c>
      <c r="L317" s="46"/>
      <c r="M317" s="45"/>
      <c r="N317" s="47" t="s">
        <v>157</v>
      </c>
      <c r="O317" s="47" t="s">
        <v>158</v>
      </c>
    </row>
    <row r="318" customFormat="false" ht="18.15" hidden="false" customHeight="true" outlineLevel="0" collapsed="false">
      <c r="B318" s="42"/>
      <c r="C318" s="43" t="str">
        <f aca="false">HYPERLINK("https://www.emi-penza.ru/p/48.3787-04", "48.3787-04")</f>
        <v>48.3787-04</v>
      </c>
      <c r="D318" s="44" t="s">
        <v>190</v>
      </c>
      <c r="E318" s="44"/>
      <c r="F318" s="44"/>
      <c r="G318" s="44"/>
      <c r="H318" s="44"/>
      <c r="I318" s="47"/>
      <c r="J318" s="45" t="s">
        <v>156</v>
      </c>
      <c r="K318" s="45" t="str">
        <f aca="false">HYPERLINK("https://pub.fsa.gov.ru/rds/declaration/view/18948803/common", "ЕАЭС N RU Д-RU.РА04.В.68862/24")</f>
        <v>ЕАЭС N RU Д-RU.РА04.В.68862/24</v>
      </c>
      <c r="L318" s="46"/>
      <c r="M318" s="45"/>
      <c r="N318" s="47" t="s">
        <v>157</v>
      </c>
      <c r="O318" s="47" t="s">
        <v>158</v>
      </c>
    </row>
    <row r="319" customFormat="false" ht="18.15" hidden="false" customHeight="true" outlineLevel="0" collapsed="false">
      <c r="B319" s="42"/>
      <c r="C319" s="43" t="str">
        <f aca="false">HYPERLINK("https://www.emi-penza.ru/p/48.3787-05", "48.3787-05")</f>
        <v>48.3787-05</v>
      </c>
      <c r="D319" s="44" t="s">
        <v>191</v>
      </c>
      <c r="E319" s="44"/>
      <c r="F319" s="44"/>
      <c r="G319" s="44"/>
      <c r="H319" s="44"/>
      <c r="I319" s="47"/>
      <c r="J319" s="45" t="s">
        <v>156</v>
      </c>
      <c r="K319" s="45" t="str">
        <f aca="false">HYPERLINK("https://pub.fsa.gov.ru/rds/declaration/view/18948803/common", "ЕАЭС N RU Д-RU.РА04.В.68862/24")</f>
        <v>ЕАЭС N RU Д-RU.РА04.В.68862/24</v>
      </c>
      <c r="L319" s="46"/>
      <c r="M319" s="45"/>
      <c r="N319" s="47" t="s">
        <v>157</v>
      </c>
      <c r="O319" s="47" t="s">
        <v>158</v>
      </c>
    </row>
    <row r="320" customFormat="false" ht="14.15" hidden="false" customHeight="true" outlineLevel="0" collapsed="false">
      <c r="B320" s="48"/>
      <c r="C320" s="49" t="str">
        <f aca="false">HYPERLINK("https://www.emi-penza.ru/p/48.3787-07", "48.3787-07")</f>
        <v>48.3787-07</v>
      </c>
      <c r="D320" s="1" t="s">
        <v>192</v>
      </c>
      <c r="E320" s="50"/>
      <c r="F320" s="50"/>
      <c r="G320" s="50"/>
      <c r="H320" s="50"/>
      <c r="I320" s="53"/>
      <c r="J320" s="51" t="s">
        <v>156</v>
      </c>
      <c r="K320" s="51" t="str">
        <f aca="false">HYPERLINK("https://pub.fsa.gov.ru/rds/declaration/view/18948803/common", "ЕАЭС N RU Д-RU.РА04.В.68862/24")</f>
        <v>ЕАЭС N RU Д-RU.РА04.В.68862/24</v>
      </c>
      <c r="L320" s="52"/>
      <c r="M320" s="51"/>
      <c r="N320" s="53" t="s">
        <v>157</v>
      </c>
      <c r="O320" s="53" t="s">
        <v>158</v>
      </c>
    </row>
    <row r="321" customFormat="false" ht="15" hidden="false" customHeight="true" outlineLevel="0" collapsed="false">
      <c r="B321" s="54"/>
      <c r="C321" s="55"/>
      <c r="D321" s="56" t="s">
        <v>193</v>
      </c>
      <c r="E321" s="56"/>
      <c r="F321" s="56"/>
      <c r="G321" s="56"/>
      <c r="H321" s="94"/>
      <c r="I321" s="59"/>
      <c r="J321" s="57"/>
      <c r="K321" s="57"/>
      <c r="L321" s="58"/>
      <c r="M321" s="57"/>
      <c r="N321" s="59"/>
      <c r="O321" s="59"/>
    </row>
    <row r="322" customFormat="false" ht="18.15" hidden="false" customHeight="true" outlineLevel="0" collapsed="false">
      <c r="B322" s="42"/>
      <c r="C322" s="43" t="str">
        <f aca="false">HYPERLINK("https://www.emi-penza.ru/p/58.3777", "58.3777")</f>
        <v>58.3777</v>
      </c>
      <c r="D322" s="44" t="s">
        <v>194</v>
      </c>
      <c r="E322" s="44"/>
      <c r="F322" s="44"/>
      <c r="G322" s="44"/>
      <c r="H322" s="44"/>
      <c r="I322" s="47"/>
      <c r="J322" s="45" t="s">
        <v>156</v>
      </c>
      <c r="K322" s="45" t="str">
        <f aca="false">HYPERLINK("https://pub.fsa.gov.ru/rds/declaration/view/18948803/common", "ЕАЭС N RU Д-RU.РА04.В.68862/24")</f>
        <v>ЕАЭС N RU Д-RU.РА04.В.68862/24</v>
      </c>
      <c r="L322" s="46"/>
      <c r="M322" s="45"/>
      <c r="N322" s="47" t="s">
        <v>157</v>
      </c>
      <c r="O322" s="47" t="s">
        <v>158</v>
      </c>
    </row>
    <row r="323" customFormat="false" ht="18.15" hidden="false" customHeight="true" outlineLevel="0" collapsed="false">
      <c r="B323" s="42"/>
      <c r="C323" s="43" t="str">
        <f aca="false">HYPERLINK("https://www.emi-penza.ru/p/58.3777-01", "58.3777-01")</f>
        <v>58.3777-01</v>
      </c>
      <c r="D323" s="44" t="s">
        <v>195</v>
      </c>
      <c r="E323" s="44"/>
      <c r="F323" s="44"/>
      <c r="G323" s="44"/>
      <c r="H323" s="44"/>
      <c r="I323" s="47"/>
      <c r="J323" s="45" t="s">
        <v>156</v>
      </c>
      <c r="K323" s="45" t="str">
        <f aca="false">HYPERLINK("https://pub.fsa.gov.ru/rds/declaration/view/18948803/common", "ЕАЭС N RU Д-RU.РА04.В.68862/24")</f>
        <v>ЕАЭС N RU Д-RU.РА04.В.68862/24</v>
      </c>
      <c r="L323" s="46"/>
      <c r="M323" s="45"/>
      <c r="N323" s="47" t="s">
        <v>157</v>
      </c>
      <c r="O323" s="47" t="s">
        <v>158</v>
      </c>
    </row>
    <row r="324" customFormat="false" ht="18.15" hidden="false" customHeight="true" outlineLevel="0" collapsed="false">
      <c r="B324" s="42"/>
      <c r="C324" s="43" t="str">
        <f aca="false">HYPERLINK("https://www.emi-penza.ru/p/58.3777-02", "58.3777-02")</f>
        <v>58.3777-02</v>
      </c>
      <c r="D324" s="44" t="s">
        <v>196</v>
      </c>
      <c r="E324" s="44"/>
      <c r="F324" s="44"/>
      <c r="G324" s="44"/>
      <c r="H324" s="44"/>
      <c r="I324" s="47"/>
      <c r="J324" s="45" t="s">
        <v>156</v>
      </c>
      <c r="K324" s="45" t="str">
        <f aca="false">HYPERLINK("https://pub.fsa.gov.ru/rds/declaration/view/18948803/common", "ЕАЭС N RU Д-RU.РА04.В.68862/24")</f>
        <v>ЕАЭС N RU Д-RU.РА04.В.68862/24</v>
      </c>
      <c r="L324" s="46"/>
      <c r="M324" s="45"/>
      <c r="N324" s="47" t="s">
        <v>157</v>
      </c>
      <c r="O324" s="47" t="s">
        <v>158</v>
      </c>
    </row>
    <row r="325" customFormat="false" ht="18.15" hidden="false" customHeight="true" outlineLevel="0" collapsed="false">
      <c r="B325" s="42"/>
      <c r="C325" s="43" t="str">
        <f aca="false">HYPERLINK("https://www.emi-penza.ru/p/58.3777-03", "58.3777-03")</f>
        <v>58.3777-03</v>
      </c>
      <c r="D325" s="44" t="s">
        <v>197</v>
      </c>
      <c r="E325" s="44"/>
      <c r="F325" s="44"/>
      <c r="G325" s="44"/>
      <c r="H325" s="44"/>
      <c r="I325" s="47"/>
      <c r="J325" s="45" t="s">
        <v>156</v>
      </c>
      <c r="K325" s="45" t="str">
        <f aca="false">HYPERLINK("https://pub.fsa.gov.ru/rds/declaration/view/18948803/common", "ЕАЭС N RU Д-RU.РА04.В.68862/24")</f>
        <v>ЕАЭС N RU Д-RU.РА04.В.68862/24</v>
      </c>
      <c r="L325" s="46"/>
      <c r="M325" s="45"/>
      <c r="N325" s="47" t="s">
        <v>157</v>
      </c>
      <c r="O325" s="47" t="s">
        <v>158</v>
      </c>
    </row>
    <row r="326" customFormat="false" ht="18.15" hidden="false" customHeight="true" outlineLevel="0" collapsed="false">
      <c r="B326" s="42"/>
      <c r="C326" s="43" t="str">
        <f aca="false">HYPERLINK("https://www.emi-penza.ru/p/58.3777-04", "58.3777-04")</f>
        <v>58.3777-04</v>
      </c>
      <c r="D326" s="44" t="s">
        <v>198</v>
      </c>
      <c r="E326" s="44"/>
      <c r="F326" s="44"/>
      <c r="G326" s="44"/>
      <c r="H326" s="44"/>
      <c r="I326" s="47"/>
      <c r="J326" s="45" t="s">
        <v>156</v>
      </c>
      <c r="K326" s="45" t="str">
        <f aca="false">HYPERLINK("https://pub.fsa.gov.ru/rds/declaration/view/18948803/common", "ЕАЭС N RU Д-RU.РА04.В.68862/24")</f>
        <v>ЕАЭС N RU Д-RU.РА04.В.68862/24</v>
      </c>
      <c r="L326" s="46"/>
      <c r="M326" s="45"/>
      <c r="N326" s="47" t="s">
        <v>157</v>
      </c>
      <c r="O326" s="47" t="s">
        <v>158</v>
      </c>
    </row>
    <row r="327" customFormat="false" ht="18.15" hidden="false" customHeight="true" outlineLevel="0" collapsed="false">
      <c r="B327" s="42"/>
      <c r="C327" s="43" t="str">
        <f aca="false">HYPERLINK("https://www.emi-penza.ru/p/58.3777-05", "58.3777-05")</f>
        <v>58.3777-05</v>
      </c>
      <c r="D327" s="44" t="s">
        <v>199</v>
      </c>
      <c r="E327" s="44"/>
      <c r="F327" s="44"/>
      <c r="G327" s="44"/>
      <c r="H327" s="44"/>
      <c r="I327" s="47"/>
      <c r="J327" s="45" t="s">
        <v>156</v>
      </c>
      <c r="K327" s="45" t="str">
        <f aca="false">HYPERLINK("https://pub.fsa.gov.ru/rds/declaration/view/18948803/common", "ЕАЭС N RU Д-RU.РА04.В.68862/24")</f>
        <v>ЕАЭС N RU Д-RU.РА04.В.68862/24</v>
      </c>
      <c r="L327" s="46"/>
      <c r="M327" s="45"/>
      <c r="N327" s="47" t="s">
        <v>157</v>
      </c>
      <c r="O327" s="47" t="s">
        <v>158</v>
      </c>
    </row>
    <row r="328" customFormat="false" ht="18.15" hidden="false" customHeight="true" outlineLevel="0" collapsed="false">
      <c r="B328" s="42" t="s">
        <v>7</v>
      </c>
      <c r="C328" s="43" t="str">
        <f aca="false">HYPERLINK("https://www.emi-penza.ru/p/58.3777-06", "58.3777-06")</f>
        <v>58.3777-06</v>
      </c>
      <c r="D328" s="44" t="s">
        <v>200</v>
      </c>
      <c r="E328" s="44"/>
      <c r="F328" s="44"/>
      <c r="G328" s="44"/>
      <c r="H328" s="44"/>
      <c r="I328" s="47"/>
      <c r="J328" s="45" t="s">
        <v>156</v>
      </c>
      <c r="K328" s="45" t="str">
        <f aca="false">HYPERLINK("https://pub.fsa.gov.ru/rds/declaration/view/18948803/common", "ЕАЭС N RU Д-RU.РА04.В.68862/24")</f>
        <v>ЕАЭС N RU Д-RU.РА04.В.68862/24</v>
      </c>
      <c r="L328" s="46"/>
      <c r="M328" s="45"/>
      <c r="N328" s="47" t="s">
        <v>157</v>
      </c>
      <c r="O328" s="47" t="s">
        <v>158</v>
      </c>
    </row>
    <row r="329" customFormat="false" ht="18.15" hidden="false" customHeight="true" outlineLevel="0" collapsed="false">
      <c r="B329" s="42"/>
      <c r="C329" s="43" t="str">
        <f aca="false">HYPERLINK("https://www.emi-penza.ru/p/58.3787", "58.3787")</f>
        <v>58.3787</v>
      </c>
      <c r="D329" s="44" t="s">
        <v>201</v>
      </c>
      <c r="E329" s="44"/>
      <c r="F329" s="44"/>
      <c r="G329" s="44"/>
      <c r="H329" s="44"/>
      <c r="I329" s="47"/>
      <c r="J329" s="45" t="s">
        <v>156</v>
      </c>
      <c r="K329" s="45" t="str">
        <f aca="false">HYPERLINK("https://pub.fsa.gov.ru/rds/declaration/view/18948803/common", "ЕАЭС N RU Д-RU.РА04.В.68862/24")</f>
        <v>ЕАЭС N RU Д-RU.РА04.В.68862/24</v>
      </c>
      <c r="L329" s="46"/>
      <c r="M329" s="45"/>
      <c r="N329" s="47" t="s">
        <v>157</v>
      </c>
      <c r="O329" s="47" t="s">
        <v>158</v>
      </c>
    </row>
    <row r="330" customFormat="false" ht="18.15" hidden="false" customHeight="true" outlineLevel="0" collapsed="false">
      <c r="B330" s="42"/>
      <c r="C330" s="43" t="str">
        <f aca="false">HYPERLINK("https://www.emi-penza.ru/p/58.3787-01", "58.3787-01")</f>
        <v>58.3787-01</v>
      </c>
      <c r="D330" s="44" t="s">
        <v>202</v>
      </c>
      <c r="E330" s="44"/>
      <c r="F330" s="44"/>
      <c r="G330" s="44"/>
      <c r="H330" s="44"/>
      <c r="I330" s="47"/>
      <c r="J330" s="45" t="s">
        <v>156</v>
      </c>
      <c r="K330" s="45" t="str">
        <f aca="false">HYPERLINK("https://pub.fsa.gov.ru/rds/declaration/view/18948803/common", "ЕАЭС N RU Д-RU.РА04.В.68862/24")</f>
        <v>ЕАЭС N RU Д-RU.РА04.В.68862/24</v>
      </c>
      <c r="L330" s="46"/>
      <c r="M330" s="45"/>
      <c r="N330" s="47" t="s">
        <v>157</v>
      </c>
      <c r="O330" s="47" t="s">
        <v>158</v>
      </c>
    </row>
    <row r="331" customFormat="false" ht="18.15" hidden="false" customHeight="true" outlineLevel="0" collapsed="false">
      <c r="B331" s="42"/>
      <c r="C331" s="43" t="str">
        <f aca="false">HYPERLINK("https://www.emi-penza.ru/p/58.3787-02", "58.3787-02")</f>
        <v>58.3787-02</v>
      </c>
      <c r="D331" s="44" t="s">
        <v>203</v>
      </c>
      <c r="E331" s="44"/>
      <c r="F331" s="44"/>
      <c r="G331" s="44"/>
      <c r="H331" s="44"/>
      <c r="I331" s="47"/>
      <c r="J331" s="45" t="s">
        <v>156</v>
      </c>
      <c r="K331" s="45" t="str">
        <f aca="false">HYPERLINK("https://pub.fsa.gov.ru/rds/declaration/view/18948803/common", "ЕАЭС N RU Д-RU.РА04.В.68862/24")</f>
        <v>ЕАЭС N RU Д-RU.РА04.В.68862/24</v>
      </c>
      <c r="L331" s="46"/>
      <c r="M331" s="45"/>
      <c r="N331" s="47" t="s">
        <v>157</v>
      </c>
      <c r="O331" s="47" t="s">
        <v>158</v>
      </c>
    </row>
    <row r="332" customFormat="false" ht="18.15" hidden="false" customHeight="true" outlineLevel="0" collapsed="false">
      <c r="B332" s="42"/>
      <c r="C332" s="43" t="str">
        <f aca="false">HYPERLINK("https://www.emi-penza.ru/p/60.3787", "60.3787")</f>
        <v>60.3787</v>
      </c>
      <c r="D332" s="44"/>
      <c r="E332" s="44"/>
      <c r="F332" s="44"/>
      <c r="G332" s="44"/>
      <c r="H332" s="44"/>
      <c r="I332" s="47"/>
      <c r="J332" s="45"/>
      <c r="K332" s="45"/>
      <c r="L332" s="46"/>
      <c r="M332" s="45"/>
      <c r="N332" s="47"/>
      <c r="O332" s="47"/>
    </row>
    <row r="333" customFormat="false" ht="18.15" hidden="false" customHeight="true" outlineLevel="0" collapsed="false">
      <c r="B333" s="42"/>
      <c r="C333" s="43" t="str">
        <f aca="false">HYPERLINK("https://www.emi-penza.ru/p/69.3787", "69.3787")</f>
        <v>69.3787</v>
      </c>
      <c r="D333" s="44" t="s">
        <v>204</v>
      </c>
      <c r="E333" s="44"/>
      <c r="F333" s="44"/>
      <c r="G333" s="44"/>
      <c r="H333" s="44"/>
      <c r="I333" s="47"/>
      <c r="J333" s="45" t="s">
        <v>156</v>
      </c>
      <c r="K333" s="45" t="str">
        <f aca="false">HYPERLINK("https://pub.fsa.gov.ru/rds/declaration/view/18948803/common", "ЕАЭС N RU Д-RU.РА04.В.68862/24")</f>
        <v>ЕАЭС N RU Д-RU.РА04.В.68862/24</v>
      </c>
      <c r="L333" s="46"/>
      <c r="M333" s="45"/>
      <c r="N333" s="47" t="s">
        <v>157</v>
      </c>
      <c r="O333" s="47" t="s">
        <v>158</v>
      </c>
    </row>
    <row r="334" customFormat="false" ht="18.15" hidden="false" customHeight="true" outlineLevel="0" collapsed="false">
      <c r="B334" s="42"/>
      <c r="C334" s="43" t="str">
        <f aca="false">HYPERLINK("https://www.emi-penza.ru/p/71.3787", "71.3787")</f>
        <v>71.3787</v>
      </c>
      <c r="D334" s="44" t="s">
        <v>205</v>
      </c>
      <c r="E334" s="44"/>
      <c r="F334" s="44"/>
      <c r="G334" s="44"/>
      <c r="H334" s="44"/>
      <c r="I334" s="47"/>
      <c r="J334" s="45" t="s">
        <v>156</v>
      </c>
      <c r="K334" s="45" t="str">
        <f aca="false">HYPERLINK("https://pub.fsa.gov.ru/rds/declaration/view/18948803/common", "ЕАЭС N RU Д-RU.РА04.В.68862/24")</f>
        <v>ЕАЭС N RU Д-RU.РА04.В.68862/24</v>
      </c>
      <c r="L334" s="46"/>
      <c r="M334" s="45"/>
      <c r="N334" s="47" t="s">
        <v>157</v>
      </c>
      <c r="O334" s="47" t="s">
        <v>158</v>
      </c>
    </row>
    <row r="335" customFormat="false" ht="18.15" hidden="false" customHeight="true" outlineLevel="0" collapsed="false">
      <c r="B335" s="42"/>
      <c r="C335" s="43" t="str">
        <f aca="false">HYPERLINK("https://www.emi-penza.ru/p/71.3787-01", "71.3787-01")</f>
        <v>71.3787-01</v>
      </c>
      <c r="D335" s="44" t="s">
        <v>206</v>
      </c>
      <c r="E335" s="44"/>
      <c r="F335" s="44"/>
      <c r="G335" s="44"/>
      <c r="H335" s="44"/>
      <c r="I335" s="47"/>
      <c r="J335" s="45" t="s">
        <v>156</v>
      </c>
      <c r="K335" s="45" t="str">
        <f aca="false">HYPERLINK("https://pub.fsa.gov.ru/rds/declaration/view/18948803/common", "ЕАЭС N RU Д-RU.РА04.В.68862/24")</f>
        <v>ЕАЭС N RU Д-RU.РА04.В.68862/24</v>
      </c>
      <c r="L335" s="46"/>
      <c r="M335" s="45"/>
      <c r="N335" s="47" t="s">
        <v>157</v>
      </c>
      <c r="O335" s="47" t="s">
        <v>158</v>
      </c>
    </row>
    <row r="336" customFormat="false" ht="18.15" hidden="false" customHeight="true" outlineLevel="0" collapsed="false">
      <c r="B336" s="42"/>
      <c r="C336" s="43" t="str">
        <f aca="false">HYPERLINK("https://www.emi-penza.ru/p/71.3787-02", "71.3787-02")</f>
        <v>71.3787-02</v>
      </c>
      <c r="D336" s="44" t="s">
        <v>207</v>
      </c>
      <c r="E336" s="44"/>
      <c r="F336" s="44"/>
      <c r="G336" s="44"/>
      <c r="H336" s="44"/>
      <c r="I336" s="47"/>
      <c r="J336" s="45" t="s">
        <v>156</v>
      </c>
      <c r="K336" s="45" t="str">
        <f aca="false">HYPERLINK("https://pub.fsa.gov.ru/rds/declaration/view/18948803/common", "ЕАЭС N RU Д-RU.РА04.В.68862/24")</f>
        <v>ЕАЭС N RU Д-RU.РА04.В.68862/24</v>
      </c>
      <c r="L336" s="46"/>
      <c r="M336" s="45"/>
      <c r="N336" s="47" t="s">
        <v>157</v>
      </c>
      <c r="O336" s="47" t="s">
        <v>158</v>
      </c>
    </row>
    <row r="337" customFormat="false" ht="18.15" hidden="false" customHeight="true" outlineLevel="0" collapsed="false">
      <c r="B337" s="42" t="s">
        <v>7</v>
      </c>
      <c r="C337" s="43" t="str">
        <f aca="false">HYPERLINK("https://www.emi-penza.ru/p/71.3787-03", "71.3787-03")</f>
        <v>71.3787-03</v>
      </c>
      <c r="D337" s="44"/>
      <c r="E337" s="44"/>
      <c r="F337" s="104"/>
      <c r="G337" s="44"/>
      <c r="H337" s="44"/>
      <c r="I337" s="47"/>
      <c r="J337" s="45" t="s">
        <v>156</v>
      </c>
      <c r="K337" s="45" t="str">
        <f aca="false">HYPERLINK("https://pub.fsa.gov.ru/rds/declaration/view/18948803/common", "ЕАЭС N RU Д-RU.РА04.В.68862/24")</f>
        <v>ЕАЭС N RU Д-RU.РА04.В.68862/24</v>
      </c>
      <c r="L337" s="46"/>
      <c r="M337" s="45"/>
      <c r="N337" s="47" t="s">
        <v>157</v>
      </c>
      <c r="O337" s="47" t="s">
        <v>158</v>
      </c>
    </row>
    <row r="338" customFormat="false" ht="18.15" hidden="false" customHeight="true" outlineLevel="0" collapsed="false">
      <c r="B338" s="42" t="s">
        <v>7</v>
      </c>
      <c r="C338" s="43" t="str">
        <f aca="false">HYPERLINK("https://www.emi-penza.ru/p/71.3787-04", "71.3787-04")</f>
        <v>71.3787-04</v>
      </c>
      <c r="D338" s="44"/>
      <c r="E338" s="44"/>
      <c r="F338" s="104"/>
      <c r="G338" s="44"/>
      <c r="H338" s="44"/>
      <c r="I338" s="47"/>
      <c r="J338" s="45" t="s">
        <v>156</v>
      </c>
      <c r="K338" s="45" t="str">
        <f aca="false">HYPERLINK("https://pub.fsa.gov.ru/rds/declaration/view/18948803/common", "ЕАЭС N RU Д-RU.РА04.В.68862/24")</f>
        <v>ЕАЭС N RU Д-RU.РА04.В.68862/24</v>
      </c>
      <c r="L338" s="46"/>
      <c r="M338" s="45"/>
      <c r="N338" s="47" t="s">
        <v>157</v>
      </c>
      <c r="O338" s="47" t="s">
        <v>158</v>
      </c>
    </row>
    <row r="339" customFormat="false" ht="18.15" hidden="false" customHeight="true" outlineLevel="0" collapsed="false">
      <c r="B339" s="42"/>
      <c r="C339" s="43" t="str">
        <f aca="false">HYPERLINK("https://www.emi-penza.ru/p/72.3787", "72.3787")</f>
        <v>72.3787</v>
      </c>
      <c r="D339" s="44" t="s">
        <v>208</v>
      </c>
      <c r="E339" s="44"/>
      <c r="F339" s="44"/>
      <c r="G339" s="44"/>
      <c r="H339" s="44"/>
      <c r="I339" s="47"/>
      <c r="J339" s="45" t="s">
        <v>156</v>
      </c>
      <c r="K339" s="45" t="str">
        <f aca="false">HYPERLINK("https://pub.fsa.gov.ru/rds/declaration/view/18948803/common", "ЕАЭС N RU Д-RU.РА04.В.68862/24")</f>
        <v>ЕАЭС N RU Д-RU.РА04.В.68862/24</v>
      </c>
      <c r="L339" s="46"/>
      <c r="M339" s="45"/>
      <c r="N339" s="47" t="s">
        <v>157</v>
      </c>
      <c r="O339" s="47" t="s">
        <v>158</v>
      </c>
    </row>
    <row r="340" customFormat="false" ht="18.15" hidden="false" customHeight="true" outlineLevel="0" collapsed="false">
      <c r="B340" s="42"/>
      <c r="C340" s="43" t="str">
        <f aca="false">HYPERLINK("https://www.emi-penza.ru/p/74.3777", "74.3777")</f>
        <v>74.3777</v>
      </c>
      <c r="D340" s="44" t="s">
        <v>209</v>
      </c>
      <c r="E340" s="44"/>
      <c r="F340" s="44"/>
      <c r="G340" s="44"/>
      <c r="H340" s="44"/>
      <c r="I340" s="47"/>
      <c r="J340" s="45" t="s">
        <v>156</v>
      </c>
      <c r="K340" s="45" t="str">
        <f aca="false">HYPERLINK("https://pub.fsa.gov.ru/rds/declaration/view/18948803/common", "ЕАЭС N RU Д-RU.РА04.В.68862/24")</f>
        <v>ЕАЭС N RU Д-RU.РА04.В.68862/24</v>
      </c>
      <c r="L340" s="46"/>
      <c r="M340" s="45"/>
      <c r="N340" s="47" t="s">
        <v>157</v>
      </c>
      <c r="O340" s="47" t="s">
        <v>158</v>
      </c>
    </row>
    <row r="341" customFormat="false" ht="18.15" hidden="false" customHeight="true" outlineLevel="0" collapsed="false">
      <c r="B341" s="42"/>
      <c r="C341" s="43" t="str">
        <f aca="false">HYPERLINK("https://www.emi-penza.ru/p/77.3777", "77.3777")</f>
        <v>77.3777</v>
      </c>
      <c r="D341" s="44" t="s">
        <v>210</v>
      </c>
      <c r="E341" s="44"/>
      <c r="F341" s="44"/>
      <c r="G341" s="44"/>
      <c r="H341" s="44"/>
      <c r="I341" s="47"/>
      <c r="J341" s="45" t="s">
        <v>156</v>
      </c>
      <c r="K341" s="45" t="str">
        <f aca="false">HYPERLINK("https://pub.fsa.gov.ru/rds/declaration/view/18948803/common", "ЕАЭС N RU Д-RU.РА04.В.68862/24")</f>
        <v>ЕАЭС N RU Д-RU.РА04.В.68862/24</v>
      </c>
      <c r="L341" s="46"/>
      <c r="M341" s="45"/>
      <c r="N341" s="47" t="s">
        <v>157</v>
      </c>
      <c r="O341" s="47" t="s">
        <v>158</v>
      </c>
    </row>
    <row r="342" customFormat="false" ht="14.15" hidden="false" customHeight="true" outlineLevel="0" collapsed="false">
      <c r="B342" s="48"/>
      <c r="C342" s="49" t="str">
        <f aca="false">HYPERLINK("https://www.emi-penza.ru/p/97.3777", "97.3777")</f>
        <v>97.3777</v>
      </c>
      <c r="D342" s="50" t="s">
        <v>211</v>
      </c>
      <c r="E342" s="50"/>
      <c r="F342" s="50"/>
      <c r="G342" s="50"/>
      <c r="H342" s="50"/>
      <c r="I342" s="53"/>
      <c r="J342" s="51" t="s">
        <v>156</v>
      </c>
      <c r="K342" s="51" t="str">
        <f aca="false">HYPERLINK("https://pub.fsa.gov.ru/rds/declaration/view/18948803/common", "ЕАЭС N RU Д-RU.РА04.В.68862/24")</f>
        <v>ЕАЭС N RU Д-RU.РА04.В.68862/24</v>
      </c>
      <c r="L342" s="52"/>
      <c r="M342" s="51"/>
      <c r="N342" s="53" t="s">
        <v>157</v>
      </c>
      <c r="O342" s="53" t="s">
        <v>158</v>
      </c>
    </row>
    <row r="343" customFormat="false" ht="15" hidden="false" customHeight="true" outlineLevel="0" collapsed="false">
      <c r="B343" s="54"/>
      <c r="C343" s="55"/>
      <c r="D343" s="56"/>
      <c r="E343" s="56"/>
      <c r="F343" s="56"/>
      <c r="G343" s="56"/>
      <c r="H343" s="94" t="s">
        <v>36</v>
      </c>
      <c r="I343" s="59"/>
      <c r="J343" s="57"/>
      <c r="K343" s="57"/>
      <c r="L343" s="58"/>
      <c r="M343" s="57"/>
      <c r="N343" s="59"/>
      <c r="O343" s="59"/>
    </row>
    <row r="344" customFormat="false" ht="18.15" hidden="false" customHeight="true" outlineLevel="0" collapsed="false">
      <c r="B344" s="42"/>
      <c r="C344" s="43" t="str">
        <f aca="false">HYPERLINK("https://www.emi-penza.ru/p/97.3777-02 LED", "97.3777-02 LED")</f>
        <v>97.3777-02 LED</v>
      </c>
      <c r="D344" s="44"/>
      <c r="E344" s="44"/>
      <c r="F344" s="44"/>
      <c r="G344" s="44"/>
      <c r="H344" s="44"/>
      <c r="I344" s="47"/>
      <c r="J344" s="45" t="s">
        <v>156</v>
      </c>
      <c r="K344" s="45" t="str">
        <f aca="false">HYPERLINK("https://pub.fsa.gov.ru/rds/declaration/view/18948803/common", "ЕАЭС N RU Д-RU.РА04.В.68862/24")</f>
        <v>ЕАЭС N RU Д-RU.РА04.В.68862/24</v>
      </c>
      <c r="L344" s="46"/>
      <c r="M344" s="45"/>
      <c r="N344" s="47" t="s">
        <v>157</v>
      </c>
      <c r="O344" s="47" t="s">
        <v>158</v>
      </c>
    </row>
    <row r="345" customFormat="false" ht="18.15" hidden="false" customHeight="true" outlineLevel="0" collapsed="false">
      <c r="B345" s="42" t="s">
        <v>7</v>
      </c>
      <c r="C345" s="43" t="str">
        <f aca="false">HYPERLINK("https://www.emi-penza.ru/p/97.3777-04", "97.3777-04")</f>
        <v>97.3777-04</v>
      </c>
      <c r="D345" s="44" t="s">
        <v>212</v>
      </c>
      <c r="E345" s="44"/>
      <c r="F345" s="44"/>
      <c r="G345" s="44"/>
      <c r="H345" s="44"/>
      <c r="I345" s="47"/>
      <c r="J345" s="45" t="s">
        <v>156</v>
      </c>
      <c r="K345" s="45" t="str">
        <f aca="false">HYPERLINK("https://pub.fsa.gov.ru/rds/declaration/view/18948803/common", "ЕАЭС N RU Д-RU.РА04.В.68862/24")</f>
        <v>ЕАЭС N RU Д-RU.РА04.В.68862/24</v>
      </c>
      <c r="L345" s="46"/>
      <c r="M345" s="45"/>
      <c r="N345" s="47" t="s">
        <v>157</v>
      </c>
      <c r="O345" s="47" t="s">
        <v>158</v>
      </c>
    </row>
    <row r="346" customFormat="false" ht="18.15" hidden="false" customHeight="true" outlineLevel="0" collapsed="false">
      <c r="B346" s="42"/>
      <c r="C346" s="43" t="str">
        <f aca="false">HYPERLINK("https://www.emi-penza.ru/p/97.3777-05", "97.3777-05")</f>
        <v>97.3777-05</v>
      </c>
      <c r="D346" s="44"/>
      <c r="E346" s="44"/>
      <c r="F346" s="44"/>
      <c r="G346" s="44"/>
      <c r="H346" s="44"/>
      <c r="I346" s="47"/>
      <c r="J346" s="45" t="s">
        <v>156</v>
      </c>
      <c r="K346" s="45" t="str">
        <f aca="false">HYPERLINK("https://pub.fsa.gov.ru/rds/declaration/view/18948803/common", "ЕАЭС N RU Д-RU.РА04.В.68862/24")</f>
        <v>ЕАЭС N RU Д-RU.РА04.В.68862/24</v>
      </c>
      <c r="L346" s="46"/>
      <c r="M346" s="45"/>
      <c r="N346" s="47" t="s">
        <v>157</v>
      </c>
      <c r="O346" s="47" t="s">
        <v>158</v>
      </c>
    </row>
    <row r="347" customFormat="false" ht="18.15" hidden="false" customHeight="true" outlineLevel="0" collapsed="false">
      <c r="B347" s="42"/>
      <c r="C347" s="43" t="str">
        <f aca="false">HYPERLINK("https://www.emi-penza.ru/p/473.3787", "473.3787")</f>
        <v>473.3787</v>
      </c>
      <c r="D347" s="44" t="s">
        <v>213</v>
      </c>
      <c r="E347" s="44"/>
      <c r="F347" s="44"/>
      <c r="G347" s="44"/>
      <c r="H347" s="44"/>
      <c r="I347" s="47"/>
      <c r="J347" s="45"/>
      <c r="K347" s="45"/>
      <c r="L347" s="46"/>
      <c r="M347" s="45"/>
      <c r="N347" s="47"/>
      <c r="O347" s="47"/>
    </row>
    <row r="348" customFormat="false" ht="18.15" hidden="false" customHeight="true" outlineLevel="0" collapsed="false">
      <c r="B348" s="42"/>
      <c r="C348" s="43" t="str">
        <f aca="false">HYPERLINK("https://www.emi-penza.ru/p/473.3787-10", "473.3787-10")</f>
        <v>473.3787-10</v>
      </c>
      <c r="D348" s="44" t="s">
        <v>214</v>
      </c>
      <c r="E348" s="44"/>
      <c r="F348" s="44"/>
      <c r="G348" s="44"/>
      <c r="H348" s="44"/>
      <c r="I348" s="47"/>
      <c r="J348" s="45"/>
      <c r="K348" s="45"/>
      <c r="L348" s="46"/>
      <c r="M348" s="45"/>
      <c r="N348" s="47"/>
      <c r="O348" s="47"/>
    </row>
    <row r="349" customFormat="false" ht="18.15" hidden="false" customHeight="true" outlineLevel="0" collapsed="false">
      <c r="B349" s="42"/>
      <c r="C349" s="43" t="str">
        <f aca="false">HYPERLINK("https://www.emi-penza.ru/p/581.3777", "581.3777")</f>
        <v>581.3777</v>
      </c>
      <c r="D349" s="44" t="s">
        <v>215</v>
      </c>
      <c r="E349" s="44"/>
      <c r="F349" s="44"/>
      <c r="G349" s="44"/>
      <c r="H349" s="44"/>
      <c r="I349" s="47"/>
      <c r="J349" s="45" t="s">
        <v>156</v>
      </c>
      <c r="K349" s="45" t="str">
        <f aca="false">HYPERLINK("https://pub.fsa.gov.ru/rds/declaration/view/18948803/common", "ЕАЭС N RU Д-RU.РА04.В.68862/24")</f>
        <v>ЕАЭС N RU Д-RU.РА04.В.68862/24</v>
      </c>
      <c r="L349" s="46"/>
      <c r="M349" s="45"/>
      <c r="N349" s="47" t="s">
        <v>157</v>
      </c>
      <c r="O349" s="47" t="s">
        <v>158</v>
      </c>
    </row>
    <row r="350" customFormat="false" ht="18.15" hidden="false" customHeight="true" outlineLevel="0" collapsed="false">
      <c r="B350" s="42"/>
      <c r="C350" s="43" t="str">
        <f aca="false">HYPERLINK("https://www.emi-penza.ru/p/581.3777-01", "581.3777-01")</f>
        <v>581.3777-01</v>
      </c>
      <c r="D350" s="44" t="s">
        <v>216</v>
      </c>
      <c r="E350" s="44"/>
      <c r="F350" s="44"/>
      <c r="G350" s="44"/>
      <c r="H350" s="44"/>
      <c r="I350" s="47"/>
      <c r="J350" s="45" t="s">
        <v>156</v>
      </c>
      <c r="K350" s="45" t="str">
        <f aca="false">HYPERLINK("https://pub.fsa.gov.ru/rds/declaration/view/18948803/common", "ЕАЭС N RU Д-RU.РА04.В.68862/24")</f>
        <v>ЕАЭС N RU Д-RU.РА04.В.68862/24</v>
      </c>
      <c r="L350" s="46"/>
      <c r="M350" s="45"/>
      <c r="N350" s="47" t="s">
        <v>157</v>
      </c>
      <c r="O350" s="47" t="s">
        <v>158</v>
      </c>
    </row>
    <row r="351" customFormat="false" ht="18.15" hidden="false" customHeight="true" outlineLevel="0" collapsed="false">
      <c r="B351" s="42"/>
      <c r="C351" s="43" t="str">
        <f aca="false">HYPERLINK("https://www.emi-penza.ru/p/582.3777", "582.3777")</f>
        <v>582.3777</v>
      </c>
      <c r="D351" s="44" t="s">
        <v>217</v>
      </c>
      <c r="E351" s="44"/>
      <c r="F351" s="44"/>
      <c r="G351" s="44"/>
      <c r="H351" s="44"/>
      <c r="I351" s="47"/>
      <c r="J351" s="45" t="s">
        <v>156</v>
      </c>
      <c r="K351" s="45" t="str">
        <f aca="false">HYPERLINK("https://pub.fsa.gov.ru/rds/declaration/view/18948803/common", "ЕАЭС N RU Д-RU.РА04.В.68862/24")</f>
        <v>ЕАЭС N RU Д-RU.РА04.В.68862/24</v>
      </c>
      <c r="L351" s="46"/>
      <c r="M351" s="45"/>
      <c r="N351" s="47" t="s">
        <v>157</v>
      </c>
      <c r="O351" s="47" t="s">
        <v>158</v>
      </c>
    </row>
    <row r="352" customFormat="false" ht="18.15" hidden="false" customHeight="true" outlineLevel="0" collapsed="false">
      <c r="B352" s="42"/>
      <c r="C352" s="43" t="str">
        <f aca="false">HYPERLINK("https://www.emi-penza.ru/p/583.3777", "583.3777")</f>
        <v>583.3777</v>
      </c>
      <c r="D352" s="44" t="s">
        <v>218</v>
      </c>
      <c r="E352" s="44"/>
      <c r="F352" s="44"/>
      <c r="G352" s="44"/>
      <c r="H352" s="44"/>
      <c r="I352" s="47"/>
      <c r="J352" s="45" t="s">
        <v>156</v>
      </c>
      <c r="K352" s="45" t="str">
        <f aca="false">HYPERLINK("https://pub.fsa.gov.ru/rds/declaration/view/18948803/common", "ЕАЭС N RU Д-RU.РА04.В.68862/24")</f>
        <v>ЕАЭС N RU Д-RU.РА04.В.68862/24</v>
      </c>
      <c r="L352" s="46"/>
      <c r="M352" s="45"/>
      <c r="N352" s="47" t="s">
        <v>157</v>
      </c>
      <c r="O352" s="47" t="s">
        <v>158</v>
      </c>
    </row>
    <row r="353" customFormat="false" ht="18.15" hidden="false" customHeight="true" outlineLevel="0" collapsed="false">
      <c r="B353" s="42"/>
      <c r="C353" s="43" t="str">
        <f aca="false">HYPERLINK("https://www.emi-penza.ru/p/8602.3777", "8602.3777")</f>
        <v>8602.3777</v>
      </c>
      <c r="D353" s="44" t="s">
        <v>219</v>
      </c>
      <c r="E353" s="44"/>
      <c r="F353" s="44"/>
      <c r="G353" s="44"/>
      <c r="H353" s="44"/>
      <c r="I353" s="47"/>
      <c r="J353" s="45"/>
      <c r="K353" s="45"/>
      <c r="L353" s="46"/>
      <c r="M353" s="45"/>
      <c r="N353" s="47"/>
      <c r="O353" s="47"/>
    </row>
    <row r="354" customFormat="false" ht="18.15" hidden="false" customHeight="true" outlineLevel="0" collapsed="false">
      <c r="B354" s="42"/>
      <c r="C354" s="43" t="str">
        <f aca="false">HYPERLINK("https://www.emi-penza.ru/p/8602.3777-01", "8602.3777-01")</f>
        <v>8602.3777-01</v>
      </c>
      <c r="D354" s="44" t="s">
        <v>220</v>
      </c>
      <c r="E354" s="44"/>
      <c r="F354" s="44"/>
      <c r="G354" s="44"/>
      <c r="H354" s="44"/>
      <c r="I354" s="47"/>
      <c r="J354" s="45"/>
      <c r="K354" s="45"/>
      <c r="L354" s="46"/>
      <c r="M354" s="45"/>
      <c r="N354" s="47"/>
      <c r="O354" s="47"/>
    </row>
    <row r="355" customFormat="false" ht="18.15" hidden="false" customHeight="true" outlineLevel="0" collapsed="false">
      <c r="B355" s="42"/>
      <c r="C355" s="43" t="str">
        <f aca="false">HYPERLINK("https://www.emi-penza.ru/p/8612.3777", "8612.3777")</f>
        <v>8612.3777</v>
      </c>
      <c r="D355" s="44" t="s">
        <v>221</v>
      </c>
      <c r="E355" s="44"/>
      <c r="F355" s="44"/>
      <c r="G355" s="44"/>
      <c r="H355" s="44"/>
      <c r="I355" s="47"/>
      <c r="J355" s="45"/>
      <c r="K355" s="45"/>
      <c r="L355" s="46"/>
      <c r="M355" s="45"/>
      <c r="N355" s="47"/>
      <c r="O355" s="47"/>
    </row>
    <row r="356" customFormat="false" ht="18.15" hidden="false" customHeight="true" outlineLevel="0" collapsed="false">
      <c r="B356" s="42"/>
      <c r="C356" s="43" t="str">
        <f aca="false">HYPERLINK("https://www.emi-penza.ru/p/8612.3777-01", "8612.3777-01")</f>
        <v>8612.3777-01</v>
      </c>
      <c r="D356" s="44" t="s">
        <v>222</v>
      </c>
      <c r="E356" s="44"/>
      <c r="F356" s="44"/>
      <c r="G356" s="44"/>
      <c r="H356" s="44"/>
      <c r="I356" s="47"/>
      <c r="J356" s="45"/>
      <c r="K356" s="45"/>
      <c r="L356" s="46"/>
      <c r="M356" s="45"/>
      <c r="N356" s="47"/>
      <c r="O356" s="47"/>
    </row>
    <row r="357" customFormat="false" ht="18.15" hidden="false" customHeight="true" outlineLevel="0" collapsed="false">
      <c r="B357" s="42"/>
      <c r="C357" s="105" t="str">
        <f aca="false">HYPERLINK("https://www.emi-penza.ru/p/8612.3777-02", "8612.3777-02")</f>
        <v>8612.3777-02</v>
      </c>
      <c r="D357" s="106" t="s">
        <v>223</v>
      </c>
      <c r="E357" s="106"/>
      <c r="F357" s="106"/>
      <c r="G357" s="106"/>
      <c r="H357" s="106"/>
      <c r="I357" s="107"/>
      <c r="J357" s="108"/>
      <c r="K357" s="108"/>
      <c r="L357" s="109"/>
      <c r="M357" s="108"/>
      <c r="N357" s="107"/>
      <c r="O357" s="107"/>
    </row>
    <row r="358" customFormat="false" ht="18.15" hidden="false" customHeight="true" outlineLevel="0" collapsed="false">
      <c r="B358" s="75" t="s">
        <v>7</v>
      </c>
      <c r="C358" s="110" t="str">
        <f aca="false">HYPERLINK("https://www.emi-penza.ru/p/US.001_EMI", "УС.001 ЭМИ")</f>
        <v>УС.001 ЭМИ</v>
      </c>
      <c r="D358" s="111"/>
      <c r="E358" s="111"/>
      <c r="F358" s="111"/>
      <c r="G358" s="111"/>
      <c r="H358" s="111"/>
      <c r="I358" s="112"/>
      <c r="J358" s="113"/>
      <c r="K358" s="113"/>
      <c r="L358" s="111"/>
      <c r="M358" s="113"/>
      <c r="N358" s="112"/>
      <c r="O358" s="112"/>
    </row>
    <row r="359" customFormat="false" ht="9.95" hidden="false" customHeight="true" outlineLevel="0" collapsed="false">
      <c r="B359" s="74"/>
      <c r="N359" s="3"/>
      <c r="O359" s="3"/>
    </row>
    <row r="360" customFormat="false" ht="22.7" hidden="false" customHeight="true" outlineLevel="0" collapsed="false">
      <c r="B360" s="3"/>
      <c r="C360" s="35" t="s">
        <v>224</v>
      </c>
      <c r="D360" s="36"/>
      <c r="E360" s="36"/>
      <c r="F360" s="36"/>
      <c r="G360" s="36"/>
      <c r="H360" s="36"/>
      <c r="I360" s="36"/>
      <c r="J360" s="37"/>
      <c r="K360" s="37"/>
      <c r="L360" s="38"/>
      <c r="M360" s="37"/>
      <c r="N360" s="80"/>
      <c r="O360" s="80"/>
    </row>
    <row r="361" customFormat="false" ht="2.85" hidden="false" customHeight="true" outlineLevel="0" collapsed="false">
      <c r="B361" s="3"/>
      <c r="N361" s="3"/>
      <c r="O361" s="3"/>
    </row>
    <row r="362" customFormat="false" ht="14.15" hidden="false" customHeight="true" outlineLevel="0" collapsed="false">
      <c r="B362" s="96"/>
      <c r="C362" s="49" t="str">
        <f aca="false">HYPERLINK("https://www.emi-penza.ru/p/35.3787", "35.3787")</f>
        <v>35.3787</v>
      </c>
      <c r="D362" s="50" t="s">
        <v>225</v>
      </c>
      <c r="E362" s="50"/>
      <c r="F362" s="50"/>
      <c r="G362" s="50"/>
      <c r="H362" s="50"/>
      <c r="I362" s="53"/>
      <c r="J362" s="51" t="s">
        <v>156</v>
      </c>
      <c r="K362" s="51" t="str">
        <f aca="false">HYPERLINK("https://pub.fsa.gov.ru/rds/declaration/view/18948803/common", "ЕАЭС N RU Д-RU.РА04.В.68862/24")</f>
        <v>ЕАЭС N RU Д-RU.РА04.В.68862/24</v>
      </c>
      <c r="L362" s="52"/>
      <c r="M362" s="51"/>
      <c r="N362" s="53" t="s">
        <v>157</v>
      </c>
      <c r="O362" s="53" t="s">
        <v>158</v>
      </c>
    </row>
    <row r="363" customFormat="false" ht="15" hidden="false" customHeight="true" outlineLevel="0" collapsed="false">
      <c r="B363" s="3"/>
      <c r="C363" s="55"/>
      <c r="D363" s="56"/>
      <c r="E363" s="56"/>
      <c r="F363" s="56"/>
      <c r="G363" s="56"/>
      <c r="H363" s="56"/>
      <c r="I363" s="59"/>
      <c r="J363" s="57"/>
      <c r="K363" s="57"/>
      <c r="L363" s="58"/>
      <c r="M363" s="57"/>
      <c r="N363" s="59"/>
      <c r="O363" s="59"/>
    </row>
    <row r="364" customFormat="false" ht="14.15" hidden="false" customHeight="true" outlineLevel="0" collapsed="false">
      <c r="B364" s="96"/>
      <c r="C364" s="49" t="str">
        <f aca="false">HYPERLINK("https://www.emi-penza.ru/p/35.3787-20", "35.3787-20")</f>
        <v>35.3787-20</v>
      </c>
      <c r="D364" s="50" t="s">
        <v>226</v>
      </c>
      <c r="E364" s="50"/>
      <c r="F364" s="50"/>
      <c r="G364" s="50"/>
      <c r="H364" s="50"/>
      <c r="I364" s="53"/>
      <c r="J364" s="51" t="s">
        <v>156</v>
      </c>
      <c r="K364" s="51" t="str">
        <f aca="false">HYPERLINK("https://pub.fsa.gov.ru/rds/declaration/view/18948803/common", "ЕАЭС N RU Д-RU.РА04.В.68862/24")</f>
        <v>ЕАЭС N RU Д-RU.РА04.В.68862/24</v>
      </c>
      <c r="L364" s="52"/>
      <c r="M364" s="51"/>
      <c r="N364" s="53" t="s">
        <v>157</v>
      </c>
      <c r="O364" s="53" t="s">
        <v>158</v>
      </c>
    </row>
    <row r="365" customFormat="false" ht="15" hidden="false" customHeight="true" outlineLevel="0" collapsed="false">
      <c r="B365" s="3"/>
      <c r="C365" s="55"/>
      <c r="D365" s="56"/>
      <c r="E365" s="56"/>
      <c r="F365" s="56"/>
      <c r="G365" s="56"/>
      <c r="H365" s="56"/>
      <c r="I365" s="59"/>
      <c r="J365" s="57"/>
      <c r="K365" s="57"/>
      <c r="L365" s="58"/>
      <c r="M365" s="57"/>
      <c r="N365" s="59"/>
      <c r="O365" s="59"/>
    </row>
    <row r="366" customFormat="false" ht="14.15" hidden="false" customHeight="true" outlineLevel="0" collapsed="false">
      <c r="B366" s="96"/>
      <c r="C366" s="49" t="str">
        <f aca="false">HYPERLINK("https://www.emi-penza.ru/p/35.3787-30", "35.3787-30")</f>
        <v>35.3787-30</v>
      </c>
      <c r="D366" s="50" t="s">
        <v>227</v>
      </c>
      <c r="E366" s="50"/>
      <c r="F366" s="50"/>
      <c r="G366" s="50"/>
      <c r="H366" s="50"/>
      <c r="I366" s="53"/>
      <c r="J366" s="51" t="s">
        <v>156</v>
      </c>
      <c r="K366" s="51" t="str">
        <f aca="false">HYPERLINK("https://pub.fsa.gov.ru/rds/declaration/view/18948803/common", "ЕАЭС N RU Д-RU.РА04.В.68862/24")</f>
        <v>ЕАЭС N RU Д-RU.РА04.В.68862/24</v>
      </c>
      <c r="L366" s="52"/>
      <c r="M366" s="51"/>
      <c r="N366" s="53" t="s">
        <v>157</v>
      </c>
      <c r="O366" s="53" t="s">
        <v>158</v>
      </c>
    </row>
    <row r="367" customFormat="false" ht="15" hidden="false" customHeight="true" outlineLevel="0" collapsed="false">
      <c r="B367" s="3"/>
      <c r="C367" s="55"/>
      <c r="D367" s="56"/>
      <c r="E367" s="56"/>
      <c r="F367" s="56"/>
      <c r="G367" s="56"/>
      <c r="H367" s="56"/>
      <c r="I367" s="59"/>
      <c r="J367" s="57"/>
      <c r="K367" s="57"/>
      <c r="L367" s="58"/>
      <c r="M367" s="57"/>
      <c r="N367" s="59"/>
      <c r="O367" s="59"/>
    </row>
    <row r="368" customFormat="false" ht="14.15" hidden="false" customHeight="true" outlineLevel="0" collapsed="false">
      <c r="B368" s="96"/>
      <c r="C368" s="49" t="str">
        <f aca="false">HYPERLINK("https://www.emi-penza.ru/p/46.3787", "46.3787")</f>
        <v>46.3787</v>
      </c>
      <c r="D368" s="50" t="s">
        <v>228</v>
      </c>
      <c r="E368" s="50"/>
      <c r="F368" s="50"/>
      <c r="G368" s="50"/>
      <c r="H368" s="50"/>
      <c r="I368" s="53"/>
      <c r="J368" s="51" t="s">
        <v>156</v>
      </c>
      <c r="K368" s="51" t="str">
        <f aca="false">HYPERLINK("https://pub.fsa.gov.ru/rds/declaration/view/18948803/common", "ЕАЭС N RU Д-RU.РА04.В.68862/24")</f>
        <v>ЕАЭС N RU Д-RU.РА04.В.68862/24</v>
      </c>
      <c r="L368" s="52"/>
      <c r="M368" s="51"/>
      <c r="N368" s="53" t="s">
        <v>157</v>
      </c>
      <c r="O368" s="53" t="s">
        <v>158</v>
      </c>
    </row>
    <row r="369" customFormat="false" ht="15" hidden="false" customHeight="true" outlineLevel="0" collapsed="false">
      <c r="B369" s="3"/>
      <c r="C369" s="55"/>
      <c r="D369" s="56"/>
      <c r="E369" s="56"/>
      <c r="F369" s="56"/>
      <c r="G369" s="56"/>
      <c r="H369" s="56"/>
      <c r="I369" s="59"/>
      <c r="J369" s="57"/>
      <c r="K369" s="57"/>
      <c r="L369" s="58"/>
      <c r="M369" s="57"/>
      <c r="N369" s="59"/>
      <c r="O369" s="59"/>
    </row>
    <row r="370" customFormat="false" ht="14.15" hidden="false" customHeight="true" outlineLevel="0" collapsed="false">
      <c r="B370" s="96"/>
      <c r="C370" s="49" t="str">
        <f aca="false">HYPERLINK("https://www.emi-penza.ru/p/46.3787-01", "46.3787-01")</f>
        <v>46.3787-01</v>
      </c>
      <c r="D370" s="50" t="s">
        <v>229</v>
      </c>
      <c r="E370" s="50"/>
      <c r="F370" s="50"/>
      <c r="G370" s="50"/>
      <c r="H370" s="50"/>
      <c r="I370" s="53"/>
      <c r="J370" s="51" t="s">
        <v>156</v>
      </c>
      <c r="K370" s="51" t="str">
        <f aca="false">HYPERLINK("https://pub.fsa.gov.ru/rds/declaration/view/18948803/common", "ЕАЭС N RU Д-RU.РА04.В.68862/24")</f>
        <v>ЕАЭС N RU Д-RU.РА04.В.68862/24</v>
      </c>
      <c r="L370" s="52"/>
      <c r="M370" s="51"/>
      <c r="N370" s="53" t="s">
        <v>157</v>
      </c>
      <c r="O370" s="53" t="s">
        <v>158</v>
      </c>
    </row>
    <row r="371" customFormat="false" ht="15" hidden="false" customHeight="true" outlineLevel="0" collapsed="false">
      <c r="B371" s="3"/>
      <c r="C371" s="55"/>
      <c r="D371" s="56"/>
      <c r="E371" s="56"/>
      <c r="F371" s="56"/>
      <c r="G371" s="56"/>
      <c r="H371" s="56"/>
      <c r="I371" s="59"/>
      <c r="J371" s="57"/>
      <c r="K371" s="57"/>
      <c r="L371" s="58"/>
      <c r="M371" s="57"/>
      <c r="N371" s="59"/>
      <c r="O371" s="59"/>
    </row>
    <row r="372" customFormat="false" ht="14.15" hidden="false" customHeight="true" outlineLevel="0" collapsed="false">
      <c r="B372" s="96"/>
      <c r="C372" s="49" t="str">
        <f aca="false">HYPERLINK("https://www.emi-penza.ru/p/46.3787-02", "46.3787-02")</f>
        <v>46.3787-02</v>
      </c>
      <c r="D372" s="50" t="s">
        <v>230</v>
      </c>
      <c r="E372" s="50"/>
      <c r="F372" s="50"/>
      <c r="G372" s="50"/>
      <c r="H372" s="50"/>
      <c r="I372" s="53"/>
      <c r="J372" s="51" t="s">
        <v>156</v>
      </c>
      <c r="K372" s="51" t="str">
        <f aca="false">HYPERLINK("https://pub.fsa.gov.ru/rds/declaration/view/18948803/common", "ЕАЭС N RU Д-RU.РА04.В.68862/24")</f>
        <v>ЕАЭС N RU Д-RU.РА04.В.68862/24</v>
      </c>
      <c r="L372" s="52"/>
      <c r="M372" s="51"/>
      <c r="N372" s="53" t="s">
        <v>157</v>
      </c>
      <c r="O372" s="53" t="s">
        <v>158</v>
      </c>
    </row>
    <row r="373" customFormat="false" ht="15" hidden="false" customHeight="true" outlineLevel="0" collapsed="false">
      <c r="B373" s="3"/>
      <c r="C373" s="55"/>
      <c r="D373" s="56"/>
      <c r="E373" s="56"/>
      <c r="F373" s="56"/>
      <c r="G373" s="56"/>
      <c r="H373" s="56"/>
      <c r="I373" s="59"/>
      <c r="J373" s="57"/>
      <c r="K373" s="57"/>
      <c r="L373" s="58"/>
      <c r="M373" s="57"/>
      <c r="N373" s="59"/>
      <c r="O373" s="59"/>
    </row>
    <row r="374" customFormat="false" ht="14.15" hidden="false" customHeight="true" outlineLevel="0" collapsed="false">
      <c r="B374" s="96"/>
      <c r="C374" s="49" t="str">
        <f aca="false">HYPERLINK("https://www.emi-penza.ru/p/46.3787-03", "46.3787-03")</f>
        <v>46.3787-03</v>
      </c>
      <c r="D374" s="50" t="s">
        <v>231</v>
      </c>
      <c r="E374" s="50"/>
      <c r="F374" s="50"/>
      <c r="G374" s="50"/>
      <c r="H374" s="50"/>
      <c r="I374" s="53"/>
      <c r="J374" s="51" t="s">
        <v>156</v>
      </c>
      <c r="K374" s="51" t="str">
        <f aca="false">HYPERLINK("https://pub.fsa.gov.ru/rds/declaration/view/18948803/common", "ЕАЭС N RU Д-RU.РА04.В.68862/24")</f>
        <v>ЕАЭС N RU Д-RU.РА04.В.68862/24</v>
      </c>
      <c r="L374" s="52"/>
      <c r="M374" s="51"/>
      <c r="N374" s="53" t="s">
        <v>157</v>
      </c>
      <c r="O374" s="53" t="s">
        <v>158</v>
      </c>
    </row>
    <row r="375" customFormat="false" ht="15" hidden="false" customHeight="true" outlineLevel="0" collapsed="false">
      <c r="B375" s="3"/>
      <c r="C375" s="55"/>
      <c r="D375" s="56"/>
      <c r="E375" s="56"/>
      <c r="F375" s="56"/>
      <c r="G375" s="56"/>
      <c r="H375" s="56"/>
      <c r="I375" s="59"/>
      <c r="J375" s="57"/>
      <c r="K375" s="57"/>
      <c r="L375" s="58"/>
      <c r="M375" s="57"/>
      <c r="N375" s="59"/>
      <c r="O375" s="59"/>
    </row>
    <row r="376" customFormat="false" ht="14.15" hidden="false" customHeight="true" outlineLevel="0" collapsed="false">
      <c r="B376" s="96"/>
      <c r="C376" s="49" t="str">
        <f aca="false">HYPERLINK("https://www.emi-penza.ru/p/46.3787-11", "46.3787-11")</f>
        <v>46.3787-11</v>
      </c>
      <c r="D376" s="50" t="s">
        <v>232</v>
      </c>
      <c r="E376" s="50"/>
      <c r="F376" s="50"/>
      <c r="G376" s="50"/>
      <c r="H376" s="50"/>
      <c r="I376" s="53"/>
      <c r="J376" s="51" t="s">
        <v>156</v>
      </c>
      <c r="K376" s="51" t="str">
        <f aca="false">HYPERLINK("https://pub.fsa.gov.ru/rds/declaration/view/18948803/common", "ЕАЭС N RU Д-RU.РА04.В.68862/24")</f>
        <v>ЕАЭС N RU Д-RU.РА04.В.68862/24</v>
      </c>
      <c r="L376" s="52"/>
      <c r="M376" s="51"/>
      <c r="N376" s="53" t="s">
        <v>157</v>
      </c>
      <c r="O376" s="53" t="s">
        <v>158</v>
      </c>
    </row>
    <row r="377" customFormat="false" ht="15" hidden="false" customHeight="true" outlineLevel="0" collapsed="false">
      <c r="B377" s="3"/>
      <c r="C377" s="55"/>
      <c r="D377" s="56"/>
      <c r="E377" s="56"/>
      <c r="F377" s="56"/>
      <c r="G377" s="56"/>
      <c r="H377" s="56"/>
      <c r="I377" s="59"/>
      <c r="J377" s="57"/>
      <c r="K377" s="57"/>
      <c r="L377" s="58"/>
      <c r="M377" s="57"/>
      <c r="N377" s="59"/>
      <c r="O377" s="59"/>
    </row>
    <row r="378" customFormat="false" ht="14.15" hidden="false" customHeight="true" outlineLevel="0" collapsed="false">
      <c r="B378" s="96"/>
      <c r="C378" s="49" t="str">
        <f aca="false">HYPERLINK("https://www.emi-penza.ru/p/46.3787-21", "46.3787-21")</f>
        <v>46.3787-21</v>
      </c>
      <c r="D378" s="50" t="s">
        <v>233</v>
      </c>
      <c r="E378" s="50"/>
      <c r="F378" s="50"/>
      <c r="G378" s="50"/>
      <c r="H378" s="50"/>
      <c r="I378" s="53"/>
      <c r="J378" s="51" t="s">
        <v>156</v>
      </c>
      <c r="K378" s="51" t="str">
        <f aca="false">HYPERLINK("https://pub.fsa.gov.ru/rds/declaration/view/18948803/common", "ЕАЭС N RU Д-RU.РА04.В.68862/24")</f>
        <v>ЕАЭС N RU Д-RU.РА04.В.68862/24</v>
      </c>
      <c r="L378" s="52"/>
      <c r="M378" s="51"/>
      <c r="N378" s="53" t="s">
        <v>157</v>
      </c>
      <c r="O378" s="53" t="s">
        <v>158</v>
      </c>
    </row>
    <row r="379" customFormat="false" ht="15" hidden="false" customHeight="true" outlineLevel="0" collapsed="false">
      <c r="B379" s="3"/>
      <c r="C379" s="55"/>
      <c r="D379" s="56"/>
      <c r="E379" s="56"/>
      <c r="F379" s="56"/>
      <c r="G379" s="56"/>
      <c r="H379" s="56"/>
      <c r="I379" s="59"/>
      <c r="J379" s="57"/>
      <c r="K379" s="57"/>
      <c r="L379" s="58"/>
      <c r="M379" s="57"/>
      <c r="N379" s="59"/>
      <c r="O379" s="59"/>
    </row>
    <row r="380" customFormat="false" ht="14.15" hidden="false" customHeight="true" outlineLevel="0" collapsed="false">
      <c r="B380" s="96"/>
      <c r="C380" s="49" t="str">
        <f aca="false">HYPERLINK("https://www.emi-penza.ru/p/46.3787-32", "46.3787-32")</f>
        <v>46.3787-32</v>
      </c>
      <c r="D380" s="50" t="s">
        <v>234</v>
      </c>
      <c r="E380" s="50"/>
      <c r="F380" s="50"/>
      <c r="G380" s="50"/>
      <c r="H380" s="50"/>
      <c r="I380" s="53"/>
      <c r="J380" s="51" t="s">
        <v>156</v>
      </c>
      <c r="K380" s="51" t="str">
        <f aca="false">HYPERLINK("https://pub.fsa.gov.ru/rds/declaration/view/18948803/common", "ЕАЭС N RU Д-RU.РА04.В.68862/24")</f>
        <v>ЕАЭС N RU Д-RU.РА04.В.68862/24</v>
      </c>
      <c r="L380" s="52"/>
      <c r="M380" s="51"/>
      <c r="N380" s="53" t="s">
        <v>157</v>
      </c>
      <c r="O380" s="53" t="s">
        <v>158</v>
      </c>
    </row>
    <row r="381" customFormat="false" ht="15" hidden="false" customHeight="true" outlineLevel="0" collapsed="false">
      <c r="B381" s="3"/>
      <c r="C381" s="55"/>
      <c r="D381" s="56"/>
      <c r="E381" s="56"/>
      <c r="F381" s="56"/>
      <c r="G381" s="56"/>
      <c r="H381" s="56"/>
      <c r="I381" s="59"/>
      <c r="J381" s="57"/>
      <c r="K381" s="57"/>
      <c r="L381" s="58"/>
      <c r="M381" s="57"/>
      <c r="N381" s="59"/>
      <c r="O381" s="59"/>
    </row>
    <row r="382" customFormat="false" ht="14.15" hidden="false" customHeight="true" outlineLevel="0" collapsed="false">
      <c r="B382" s="96"/>
      <c r="C382" s="49" t="str">
        <f aca="false">HYPERLINK("https://www.emi-penza.ru/p/46.3787-111", "46.3787-111")</f>
        <v>46.3787-111</v>
      </c>
      <c r="D382" s="50" t="s">
        <v>235</v>
      </c>
      <c r="E382" s="50"/>
      <c r="F382" s="50"/>
      <c r="G382" s="50"/>
      <c r="H382" s="50"/>
      <c r="I382" s="53"/>
      <c r="J382" s="51" t="s">
        <v>156</v>
      </c>
      <c r="K382" s="51" t="str">
        <f aca="false">HYPERLINK("https://pub.fsa.gov.ru/rds/declaration/view/18948803/common", "ЕАЭС N RU Д-RU.РА04.В.68862/24")</f>
        <v>ЕАЭС N RU Д-RU.РА04.В.68862/24</v>
      </c>
      <c r="L382" s="52"/>
      <c r="M382" s="51"/>
      <c r="N382" s="53" t="s">
        <v>157</v>
      </c>
      <c r="O382" s="53" t="s">
        <v>158</v>
      </c>
    </row>
    <row r="383" customFormat="false" ht="15" hidden="false" customHeight="true" outlineLevel="0" collapsed="false">
      <c r="B383" s="3"/>
      <c r="C383" s="55"/>
      <c r="D383" s="56"/>
      <c r="E383" s="56"/>
      <c r="F383" s="56"/>
      <c r="G383" s="56"/>
      <c r="H383" s="56"/>
      <c r="I383" s="59"/>
      <c r="J383" s="57"/>
      <c r="K383" s="57"/>
      <c r="L383" s="58"/>
      <c r="M383" s="57"/>
      <c r="N383" s="59"/>
      <c r="O383" s="59"/>
    </row>
    <row r="384" customFormat="false" ht="14.15" hidden="false" customHeight="true" outlineLevel="0" collapsed="false">
      <c r="B384" s="96"/>
      <c r="C384" s="49" t="str">
        <f aca="false">HYPERLINK("https://www.emi-penza.ru/p/47.3787", "47.3787")</f>
        <v>47.3787</v>
      </c>
      <c r="D384" s="50" t="s">
        <v>236</v>
      </c>
      <c r="E384" s="50"/>
      <c r="F384" s="50"/>
      <c r="G384" s="50"/>
      <c r="H384" s="50"/>
      <c r="I384" s="53"/>
      <c r="J384" s="51" t="s">
        <v>156</v>
      </c>
      <c r="K384" s="51" t="str">
        <f aca="false">HYPERLINK("https://pub.fsa.gov.ru/rds/declaration/view/18948803/common", "ЕАЭС N RU Д-RU.РА04.В.68862/24")</f>
        <v>ЕАЭС N RU Д-RU.РА04.В.68862/24</v>
      </c>
      <c r="L384" s="52"/>
      <c r="M384" s="51"/>
      <c r="N384" s="53" t="s">
        <v>157</v>
      </c>
      <c r="O384" s="53" t="s">
        <v>158</v>
      </c>
    </row>
    <row r="385" customFormat="false" ht="15" hidden="false" customHeight="true" outlineLevel="0" collapsed="false">
      <c r="B385" s="3"/>
      <c r="C385" s="55"/>
      <c r="D385" s="56"/>
      <c r="E385" s="56"/>
      <c r="F385" s="56"/>
      <c r="G385" s="56"/>
      <c r="H385" s="56"/>
      <c r="I385" s="59"/>
      <c r="J385" s="57"/>
      <c r="K385" s="57"/>
      <c r="L385" s="58"/>
      <c r="M385" s="57"/>
      <c r="N385" s="59"/>
      <c r="O385" s="59"/>
    </row>
    <row r="386" customFormat="false" ht="14.15" hidden="false" customHeight="true" outlineLevel="0" collapsed="false">
      <c r="B386" s="96"/>
      <c r="C386" s="49" t="str">
        <f aca="false">HYPERLINK("https://www.emi-penza.ru/p/47.3787-10", "47.3787-10")</f>
        <v>47.3787-10</v>
      </c>
      <c r="D386" s="50" t="s">
        <v>237</v>
      </c>
      <c r="E386" s="50"/>
      <c r="F386" s="50"/>
      <c r="G386" s="50"/>
      <c r="H386" s="50"/>
      <c r="I386" s="53"/>
      <c r="J386" s="51" t="s">
        <v>156</v>
      </c>
      <c r="K386" s="51" t="str">
        <f aca="false">HYPERLINK("https://pub.fsa.gov.ru/rds/declaration/view/18948803/common", "ЕАЭС N RU Д-RU.РА04.В.68862/24")</f>
        <v>ЕАЭС N RU Д-RU.РА04.В.68862/24</v>
      </c>
      <c r="L386" s="52"/>
      <c r="M386" s="51"/>
      <c r="N386" s="53" t="s">
        <v>157</v>
      </c>
      <c r="O386" s="53" t="s">
        <v>158</v>
      </c>
    </row>
    <row r="387" customFormat="false" ht="15" hidden="false" customHeight="true" outlineLevel="0" collapsed="false">
      <c r="B387" s="3"/>
      <c r="C387" s="114"/>
      <c r="D387" s="115"/>
      <c r="E387" s="115"/>
      <c r="F387" s="115"/>
      <c r="G387" s="115"/>
      <c r="H387" s="115"/>
      <c r="I387" s="116"/>
      <c r="J387" s="117"/>
      <c r="K387" s="117"/>
      <c r="L387" s="118"/>
      <c r="M387" s="117"/>
      <c r="N387" s="116"/>
      <c r="O387" s="116"/>
    </row>
    <row r="388" customFormat="false" ht="14.15" hidden="false" customHeight="true" outlineLevel="0" collapsed="false">
      <c r="B388" s="96"/>
      <c r="C388" s="49" t="str">
        <f aca="false">HYPERLINK("https://www.emi-penza.ru/p/461.3787", "461.3787")</f>
        <v>461.3787</v>
      </c>
      <c r="D388" s="50" t="s">
        <v>238</v>
      </c>
      <c r="E388" s="50"/>
      <c r="F388" s="50"/>
      <c r="G388" s="50"/>
      <c r="H388" s="50"/>
      <c r="I388" s="53"/>
      <c r="J388" s="51" t="s">
        <v>156</v>
      </c>
      <c r="K388" s="51" t="str">
        <f aca="false">HYPERLINK("https://pub.fsa.gov.ru/rds/declaration/view/18948803/common", "ЕАЭС N RU Д-RU.РА04.В.68862/24")</f>
        <v>ЕАЭС N RU Д-RU.РА04.В.68862/24</v>
      </c>
      <c r="L388" s="52"/>
      <c r="M388" s="51"/>
      <c r="N388" s="53" t="s">
        <v>157</v>
      </c>
      <c r="O388" s="53" t="s">
        <v>158</v>
      </c>
    </row>
    <row r="389" customFormat="false" ht="15" hidden="false" customHeight="true" outlineLevel="0" collapsed="false">
      <c r="B389" s="3"/>
      <c r="C389" s="55"/>
      <c r="D389" s="56"/>
      <c r="E389" s="56"/>
      <c r="F389" s="56"/>
      <c r="G389" s="56"/>
      <c r="H389" s="56"/>
      <c r="I389" s="59"/>
      <c r="J389" s="57"/>
      <c r="K389" s="57"/>
      <c r="L389" s="58"/>
      <c r="M389" s="57"/>
      <c r="N389" s="59"/>
      <c r="O389" s="59"/>
    </row>
    <row r="390" customFormat="false" ht="14.15" hidden="false" customHeight="true" outlineLevel="0" collapsed="false">
      <c r="B390" s="96"/>
      <c r="C390" s="49" t="str">
        <f aca="false">HYPERLINK("https://www.emi-penza.ru/p/461.3787-01", "461.3787-01")</f>
        <v>461.3787-01</v>
      </c>
      <c r="D390" s="50" t="s">
        <v>239</v>
      </c>
      <c r="E390" s="50"/>
      <c r="F390" s="50"/>
      <c r="G390" s="50"/>
      <c r="H390" s="50"/>
      <c r="I390" s="53"/>
      <c r="J390" s="51" t="s">
        <v>156</v>
      </c>
      <c r="K390" s="51" t="str">
        <f aca="false">HYPERLINK("https://pub.fsa.gov.ru/rds/declaration/view/18948803/common", "ЕАЭС N RU Д-RU.РА04.В.68862/24")</f>
        <v>ЕАЭС N RU Д-RU.РА04.В.68862/24</v>
      </c>
      <c r="L390" s="52"/>
      <c r="M390" s="51"/>
      <c r="N390" s="53" t="s">
        <v>157</v>
      </c>
      <c r="O390" s="53" t="s">
        <v>158</v>
      </c>
    </row>
    <row r="391" customFormat="false" ht="15" hidden="false" customHeight="true" outlineLevel="0" collapsed="false">
      <c r="B391" s="3"/>
      <c r="C391" s="55"/>
      <c r="D391" s="56"/>
      <c r="E391" s="56"/>
      <c r="F391" s="56"/>
      <c r="G391" s="56"/>
      <c r="H391" s="56"/>
      <c r="I391" s="59"/>
      <c r="J391" s="57"/>
      <c r="K391" s="57"/>
      <c r="L391" s="58"/>
      <c r="M391" s="57"/>
      <c r="N391" s="59"/>
      <c r="O391" s="59"/>
    </row>
    <row r="392" customFormat="false" ht="14.15" hidden="false" customHeight="true" outlineLevel="0" collapsed="false">
      <c r="B392" s="96"/>
      <c r="C392" s="49" t="str">
        <f aca="false">HYPERLINK("https://www.emi-penza.ru/p/461.3787-02", "461.3787-02")</f>
        <v>461.3787-02</v>
      </c>
      <c r="D392" s="50" t="s">
        <v>240</v>
      </c>
      <c r="E392" s="50"/>
      <c r="F392" s="50"/>
      <c r="G392" s="50"/>
      <c r="H392" s="50"/>
      <c r="I392" s="53"/>
      <c r="J392" s="51" t="s">
        <v>156</v>
      </c>
      <c r="K392" s="51" t="str">
        <f aca="false">HYPERLINK("https://pub.fsa.gov.ru/rds/declaration/view/18948803/common", "ЕАЭС N RU Д-RU.РА04.В.68862/24")</f>
        <v>ЕАЭС N RU Д-RU.РА04.В.68862/24</v>
      </c>
      <c r="L392" s="52"/>
      <c r="M392" s="51"/>
      <c r="N392" s="53" t="s">
        <v>157</v>
      </c>
      <c r="O392" s="53" t="s">
        <v>158</v>
      </c>
    </row>
    <row r="393" customFormat="false" ht="15" hidden="false" customHeight="true" outlineLevel="0" collapsed="false">
      <c r="B393" s="3"/>
      <c r="C393" s="55"/>
      <c r="D393" s="56"/>
      <c r="E393" s="56"/>
      <c r="F393" s="56"/>
      <c r="G393" s="56"/>
      <c r="H393" s="56"/>
      <c r="I393" s="59"/>
      <c r="J393" s="57"/>
      <c r="K393" s="57"/>
      <c r="L393" s="58"/>
      <c r="M393" s="57"/>
      <c r="N393" s="59"/>
      <c r="O393" s="59"/>
    </row>
    <row r="394" customFormat="false" ht="14.15" hidden="false" customHeight="true" outlineLevel="0" collapsed="false">
      <c r="B394" s="96"/>
      <c r="C394" s="49" t="str">
        <f aca="false">HYPERLINK("https://www.emi-penza.ru/p/461.3787-11", "461.3787-11")</f>
        <v>461.3787-11</v>
      </c>
      <c r="D394" s="50" t="s">
        <v>241</v>
      </c>
      <c r="E394" s="50"/>
      <c r="F394" s="50"/>
      <c r="G394" s="50"/>
      <c r="H394" s="50"/>
      <c r="I394" s="53"/>
      <c r="J394" s="51" t="s">
        <v>156</v>
      </c>
      <c r="K394" s="51" t="str">
        <f aca="false">HYPERLINK("https://pub.fsa.gov.ru/rds/declaration/view/18948803/common", "ЕАЭС N RU Д-RU.РА04.В.68862/24")</f>
        <v>ЕАЭС N RU Д-RU.РА04.В.68862/24</v>
      </c>
      <c r="L394" s="52"/>
      <c r="M394" s="51"/>
      <c r="N394" s="53" t="s">
        <v>157</v>
      </c>
      <c r="O394" s="53" t="s">
        <v>158</v>
      </c>
    </row>
    <row r="395" customFormat="false" ht="15" hidden="false" customHeight="true" outlineLevel="0" collapsed="false">
      <c r="B395" s="3"/>
      <c r="C395" s="55"/>
      <c r="D395" s="56"/>
      <c r="E395" s="56"/>
      <c r="F395" s="56"/>
      <c r="G395" s="56"/>
      <c r="H395" s="56"/>
      <c r="I395" s="59"/>
      <c r="J395" s="57"/>
      <c r="K395" s="57"/>
      <c r="L395" s="58"/>
      <c r="M395" s="57"/>
      <c r="N395" s="59"/>
      <c r="O395" s="59"/>
    </row>
    <row r="396" customFormat="false" ht="14.15" hidden="false" customHeight="true" outlineLevel="0" collapsed="false">
      <c r="B396" s="96"/>
      <c r="C396" s="49" t="str">
        <f aca="false">HYPERLINK("https://www.emi-penza.ru/p/461.3787-111", "461.3787-111")</f>
        <v>461.3787-111</v>
      </c>
      <c r="D396" s="50" t="s">
        <v>242</v>
      </c>
      <c r="E396" s="50"/>
      <c r="F396" s="50"/>
      <c r="G396" s="50"/>
      <c r="H396" s="50"/>
      <c r="I396" s="53"/>
      <c r="J396" s="51" t="s">
        <v>156</v>
      </c>
      <c r="K396" s="51" t="str">
        <f aca="false">HYPERLINK("https://pub.fsa.gov.ru/rds/declaration/view/18948803/common", "ЕАЭС N RU Д-RU.РА04.В.68862/24")</f>
        <v>ЕАЭС N RU Д-RU.РА04.В.68862/24</v>
      </c>
      <c r="L396" s="52"/>
      <c r="M396" s="51"/>
      <c r="N396" s="53" t="s">
        <v>157</v>
      </c>
      <c r="O396" s="53" t="s">
        <v>158</v>
      </c>
    </row>
    <row r="397" customFormat="false" ht="15" hidden="false" customHeight="true" outlineLevel="0" collapsed="false">
      <c r="B397" s="3"/>
      <c r="C397" s="55"/>
      <c r="D397" s="56"/>
      <c r="E397" s="56"/>
      <c r="F397" s="56"/>
      <c r="G397" s="56"/>
      <c r="H397" s="56"/>
      <c r="I397" s="59"/>
      <c r="J397" s="57"/>
      <c r="K397" s="57"/>
      <c r="L397" s="58"/>
      <c r="M397" s="57"/>
      <c r="N397" s="59"/>
      <c r="O397" s="59"/>
    </row>
    <row r="398" customFormat="false" ht="14.15" hidden="false" customHeight="true" outlineLevel="0" collapsed="false">
      <c r="B398" s="71"/>
      <c r="C398" s="70" t="str">
        <f aca="false">HYPERLINK("https://www.emi-penza.ru/p/461.3787-131", "461.3787-131")</f>
        <v>461.3787-131</v>
      </c>
      <c r="D398" s="71" t="s">
        <v>243</v>
      </c>
      <c r="E398" s="71"/>
      <c r="F398" s="71"/>
      <c r="G398" s="71"/>
      <c r="H398" s="71"/>
      <c r="I398" s="74"/>
      <c r="J398" s="73" t="s">
        <v>156</v>
      </c>
      <c r="K398" s="73" t="str">
        <f aca="false">HYPERLINK("https://pub.fsa.gov.ru/rds/declaration/view/18948803/common", "ЕАЭС N RU Д-RU.РА04.В.68862/24")</f>
        <v>ЕАЭС N RU Д-RU.РА04.В.68862/24</v>
      </c>
      <c r="L398" s="72"/>
      <c r="M398" s="73"/>
      <c r="N398" s="74" t="s">
        <v>157</v>
      </c>
      <c r="O398" s="74" t="s">
        <v>158</v>
      </c>
    </row>
    <row r="399" customFormat="false" ht="15" hidden="false" customHeight="true" outlineLevel="0" collapsed="false">
      <c r="B399" s="74"/>
      <c r="C399" s="99"/>
      <c r="D399" s="100"/>
      <c r="E399" s="100"/>
      <c r="F399" s="100"/>
      <c r="G399" s="100"/>
      <c r="H399" s="100"/>
      <c r="I399" s="101"/>
      <c r="J399" s="102"/>
      <c r="K399" s="102"/>
      <c r="L399" s="103"/>
      <c r="M399" s="102"/>
      <c r="N399" s="101"/>
      <c r="O399" s="101"/>
    </row>
    <row r="400" customFormat="false" ht="15" hidden="false" customHeight="true" outlineLevel="0" collapsed="false">
      <c r="B400" s="74"/>
      <c r="C400" s="70"/>
      <c r="D400" s="71"/>
      <c r="E400" s="71"/>
      <c r="F400" s="71"/>
      <c r="G400" s="71"/>
      <c r="H400" s="71"/>
      <c r="I400" s="74"/>
      <c r="J400" s="73"/>
      <c r="K400" s="73"/>
      <c r="L400" s="72"/>
      <c r="M400" s="73"/>
      <c r="N400" s="119"/>
      <c r="O400" s="119"/>
    </row>
    <row r="401" customFormat="false" ht="15" hidden="false" customHeight="true" outlineLevel="0" collapsed="false">
      <c r="B401" s="74"/>
      <c r="C401" s="120" t="str">
        <f aca="false">HYPERLINK("https://www.emi-penza.ru/-/документы/продукция/завод_ЭМИ_все_реле.pdf", "Полный список серийно выпускаемых универсальных реле насчитывает 349 модификаций. Подробности на следующей странице и на нашем сайте.")</f>
        <v>Полный список серийно выпускаемых универсальных реле насчитывает 349 модификаций. Подробности на следующей странице и на нашем сайте.</v>
      </c>
      <c r="D401" s="71"/>
      <c r="E401" s="71"/>
      <c r="F401" s="71"/>
      <c r="G401" s="71"/>
      <c r="H401" s="71"/>
      <c r="I401" s="74"/>
      <c r="J401" s="73"/>
      <c r="K401" s="73"/>
      <c r="L401" s="72"/>
      <c r="M401" s="73"/>
      <c r="N401" s="119"/>
      <c r="O401" s="119"/>
    </row>
    <row r="402" customFormat="false" ht="15" hidden="false" customHeight="true" outlineLevel="0" collapsed="false">
      <c r="B402" s="74"/>
      <c r="C402" s="70"/>
      <c r="D402" s="71"/>
      <c r="E402" s="71"/>
      <c r="F402" s="71"/>
      <c r="G402" s="71"/>
      <c r="H402" s="71"/>
      <c r="I402" s="74"/>
      <c r="J402" s="73"/>
      <c r="K402" s="73"/>
      <c r="L402" s="72"/>
      <c r="M402" s="73"/>
      <c r="N402" s="119"/>
      <c r="O402" s="119"/>
    </row>
    <row r="403" customFormat="false" ht="9.95" hidden="false" customHeight="true" outlineLevel="0" collapsed="false">
      <c r="G403" s="71"/>
      <c r="I403" s="71"/>
      <c r="J403" s="73"/>
      <c r="N403" s="74"/>
      <c r="O403" s="74"/>
    </row>
    <row r="404" customFormat="false" ht="22.7" hidden="false" customHeight="true" outlineLevel="0" collapsed="false">
      <c r="B404" s="3"/>
      <c r="C404" s="35" t="s">
        <v>244</v>
      </c>
      <c r="D404" s="36"/>
      <c r="E404" s="36"/>
      <c r="F404" s="36"/>
      <c r="G404" s="36"/>
      <c r="H404" s="36"/>
      <c r="I404" s="36"/>
      <c r="J404" s="37"/>
      <c r="K404" s="37"/>
      <c r="L404" s="38"/>
      <c r="M404" s="37"/>
      <c r="N404" s="39"/>
      <c r="O404" s="39"/>
    </row>
    <row r="405" customFormat="false" ht="2.85" hidden="false" customHeight="true" outlineLevel="0" collapsed="false">
      <c r="B405" s="3"/>
    </row>
    <row r="406" customFormat="false" ht="17.85" hidden="false" customHeight="true" outlineLevel="0" collapsed="false">
      <c r="B406" s="40"/>
      <c r="C406" s="43" t="str">
        <f aca="false">HYPERLINK("https://www.emi-penza.ru/p/64.3787-011", "64.3787-011")</f>
        <v>64.3787-011</v>
      </c>
      <c r="D406" s="44" t="s">
        <v>245</v>
      </c>
      <c r="E406" s="44"/>
      <c r="F406" s="44"/>
      <c r="G406" s="44"/>
      <c r="H406" s="44"/>
      <c r="I406" s="47"/>
      <c r="J406" s="45" t="s">
        <v>156</v>
      </c>
      <c r="K406" s="45" t="str">
        <f aca="false">HYPERLINK("https://pub.fsa.gov.ru/rds/declaration/view/18948803/common", "ЕАЭС N RU Д-RU.РА04.В.68862/24")</f>
        <v>ЕАЭС N RU Д-RU.РА04.В.68862/24</v>
      </c>
      <c r="L406" s="46"/>
      <c r="M406" s="45"/>
      <c r="N406" s="47" t="s">
        <v>157</v>
      </c>
      <c r="O406" s="47" t="s">
        <v>158</v>
      </c>
    </row>
    <row r="407" customFormat="false" ht="17.85" hidden="false" customHeight="true" outlineLevel="0" collapsed="false">
      <c r="B407" s="40"/>
      <c r="C407" s="43" t="str">
        <f aca="false">HYPERLINK("https://www.emi-penza.ru/p/64.3787-111", "64.3787-111")</f>
        <v>64.3787-111</v>
      </c>
      <c r="D407" s="44" t="s">
        <v>246</v>
      </c>
      <c r="E407" s="44"/>
      <c r="F407" s="44"/>
      <c r="G407" s="44"/>
      <c r="H407" s="44"/>
      <c r="I407" s="47"/>
      <c r="J407" s="45" t="s">
        <v>156</v>
      </c>
      <c r="K407" s="45" t="str">
        <f aca="false">HYPERLINK("https://pub.fsa.gov.ru/rds/declaration/view/18948803/common", "ЕАЭС N RU Д-RU.РА04.В.68862/24")</f>
        <v>ЕАЭС N RU Д-RU.РА04.В.68862/24</v>
      </c>
      <c r="L407" s="46"/>
      <c r="M407" s="45"/>
      <c r="N407" s="47" t="s">
        <v>157</v>
      </c>
      <c r="O407" s="47" t="s">
        <v>158</v>
      </c>
    </row>
    <row r="408" customFormat="false" ht="17.85" hidden="false" customHeight="true" outlineLevel="0" collapsed="false">
      <c r="B408" s="40"/>
      <c r="C408" s="43" t="str">
        <f aca="false">HYPERLINK("https://www.emi-penza.ru/p/641.3787-01", "641.3787-01")</f>
        <v>641.3787-01</v>
      </c>
      <c r="D408" s="44" t="s">
        <v>247</v>
      </c>
      <c r="E408" s="44"/>
      <c r="F408" s="44"/>
      <c r="G408" s="44"/>
      <c r="H408" s="44"/>
      <c r="I408" s="47"/>
      <c r="J408" s="45" t="s">
        <v>156</v>
      </c>
      <c r="K408" s="45" t="str">
        <f aca="false">HYPERLINK("https://pub.fsa.gov.ru/rds/declaration/view/18948803/common", "ЕАЭС N RU Д-RU.РА04.В.68862/24")</f>
        <v>ЕАЭС N RU Д-RU.РА04.В.68862/24</v>
      </c>
      <c r="L408" s="46"/>
      <c r="M408" s="45"/>
      <c r="N408" s="47" t="s">
        <v>157</v>
      </c>
      <c r="O408" s="47" t="s">
        <v>158</v>
      </c>
    </row>
    <row r="409" customFormat="false" ht="17.85" hidden="false" customHeight="true" outlineLevel="0" collapsed="false">
      <c r="B409" s="40"/>
      <c r="C409" s="43" t="str">
        <f aca="false">HYPERLINK("https://www.emi-penza.ru/p/641.3787-11", "641.3787-11")</f>
        <v>641.3787-11</v>
      </c>
      <c r="D409" s="44" t="s">
        <v>248</v>
      </c>
      <c r="E409" s="44"/>
      <c r="F409" s="44"/>
      <c r="G409" s="44"/>
      <c r="H409" s="44"/>
      <c r="I409" s="47"/>
      <c r="J409" s="45" t="s">
        <v>156</v>
      </c>
      <c r="K409" s="45" t="str">
        <f aca="false">HYPERLINK("https://pub.fsa.gov.ru/rds/declaration/view/18948803/common", "ЕАЭС N RU Д-RU.РА04.В.68862/24")</f>
        <v>ЕАЭС N RU Д-RU.РА04.В.68862/24</v>
      </c>
      <c r="L409" s="46"/>
      <c r="M409" s="45"/>
      <c r="N409" s="47" t="s">
        <v>157</v>
      </c>
      <c r="O409" s="47" t="s">
        <v>158</v>
      </c>
    </row>
    <row r="410" customFormat="false" ht="17.85" hidden="false" customHeight="true" outlineLevel="0" collapsed="false">
      <c r="B410" s="40"/>
      <c r="C410" s="43" t="str">
        <f aca="false">HYPERLINK("https://www.emi-penza.ru/p/644.3787-10", "644.3787-10")</f>
        <v>644.3787-10</v>
      </c>
      <c r="D410" s="44" t="s">
        <v>249</v>
      </c>
      <c r="E410" s="44"/>
      <c r="F410" s="44"/>
      <c r="G410" s="44"/>
      <c r="H410" s="44"/>
      <c r="I410" s="47"/>
      <c r="J410" s="45" t="s">
        <v>156</v>
      </c>
      <c r="K410" s="45" t="str">
        <f aca="false">HYPERLINK("https://pub.fsa.gov.ru/rds/declaration/view/18948803/common", "ЕАЭС N RU Д-RU.РА04.В.68862/24")</f>
        <v>ЕАЭС N RU Д-RU.РА04.В.68862/24</v>
      </c>
      <c r="L410" s="46"/>
      <c r="M410" s="45"/>
      <c r="N410" s="47" t="s">
        <v>157</v>
      </c>
      <c r="O410" s="47" t="s">
        <v>158</v>
      </c>
    </row>
    <row r="411" customFormat="false" ht="17.85" hidden="false" customHeight="true" outlineLevel="0" collapsed="false">
      <c r="B411" s="40"/>
      <c r="C411" s="88" t="str">
        <f aca="false">HYPERLINK("https://www.emi-penza.ru/p/783.3787-002", "783.3787-002")</f>
        <v>783.3787-002</v>
      </c>
      <c r="D411" s="89" t="s">
        <v>250</v>
      </c>
      <c r="E411" s="89"/>
      <c r="F411" s="89"/>
      <c r="G411" s="89"/>
      <c r="H411" s="89"/>
      <c r="I411" s="90"/>
      <c r="J411" s="91" t="s">
        <v>156</v>
      </c>
      <c r="K411" s="91" t="str">
        <f aca="false">HYPERLINK("https://pub.fsa.gov.ru/rds/declaration/view/18948803/common", "ЕАЭС N RU Д-RU.РА04.В.68862/24")</f>
        <v>ЕАЭС N RU Д-RU.РА04.В.68862/24</v>
      </c>
      <c r="L411" s="92"/>
      <c r="M411" s="91"/>
      <c r="N411" s="90" t="s">
        <v>157</v>
      </c>
      <c r="O411" s="90" t="s">
        <v>158</v>
      </c>
    </row>
    <row r="412" customFormat="false" ht="5.1" hidden="false" customHeight="true" outlineLevel="0" collapsed="false">
      <c r="B412" s="3"/>
      <c r="N412" s="3"/>
      <c r="O412" s="3"/>
    </row>
    <row r="413" customFormat="false" ht="17.85" hidden="false" customHeight="true" outlineLevel="0" collapsed="false">
      <c r="B413" s="40"/>
      <c r="C413" s="43" t="str">
        <f aca="false">HYPERLINK("https://www.emi-penza.ru/p/98.3777", "98.3777")</f>
        <v>98.3777</v>
      </c>
      <c r="D413" s="44" t="s">
        <v>251</v>
      </c>
      <c r="E413" s="44"/>
      <c r="F413" s="44"/>
      <c r="G413" s="44"/>
      <c r="H413" s="44"/>
      <c r="I413" s="47"/>
      <c r="J413" s="45" t="s">
        <v>156</v>
      </c>
      <c r="K413" s="45" t="str">
        <f aca="false">HYPERLINK("https://pub.fsa.gov.ru/rds/declaration/view/18948803/common", "ЕАЭС N RU Д-RU.РА04.В.68862/24")</f>
        <v>ЕАЭС N RU Д-RU.РА04.В.68862/24</v>
      </c>
      <c r="L413" s="46"/>
      <c r="M413" s="45"/>
      <c r="N413" s="47" t="s">
        <v>157</v>
      </c>
      <c r="O413" s="47" t="s">
        <v>158</v>
      </c>
    </row>
    <row r="414" customFormat="false" ht="17.85" hidden="false" customHeight="true" outlineLevel="0" collapsed="false">
      <c r="B414" s="42"/>
      <c r="C414" s="43" t="str">
        <f aca="false">HYPERLINK("https://www.emi-penza.ru/p/98.3777-002", "98.3777-002")</f>
        <v>98.3777-002</v>
      </c>
      <c r="D414" s="44"/>
      <c r="E414" s="44"/>
      <c r="F414" s="44"/>
      <c r="G414" s="44"/>
      <c r="H414" s="44"/>
      <c r="I414" s="47"/>
      <c r="J414" s="45" t="s">
        <v>156</v>
      </c>
      <c r="K414" s="45" t="str">
        <f aca="false">HYPERLINK("https://pub.fsa.gov.ru/rds/declaration/view/18948803/common", "ЕАЭС N RU Д-RU.РА04.В.68862/24")</f>
        <v>ЕАЭС N RU Д-RU.РА04.В.68862/24</v>
      </c>
      <c r="L414" s="46"/>
      <c r="M414" s="45"/>
      <c r="N414" s="47" t="s">
        <v>157</v>
      </c>
      <c r="O414" s="47" t="s">
        <v>158</v>
      </c>
    </row>
    <row r="415" customFormat="false" ht="17.85" hidden="false" customHeight="true" outlineLevel="0" collapsed="false">
      <c r="B415" s="42"/>
      <c r="C415" s="43" t="str">
        <f aca="false">HYPERLINK("https://www.emi-penza.ru/p/98.3777-012", "98.3777-012")</f>
        <v>98.3777-012</v>
      </c>
      <c r="D415" s="44"/>
      <c r="E415" s="44"/>
      <c r="F415" s="44"/>
      <c r="G415" s="44"/>
      <c r="H415" s="44"/>
      <c r="I415" s="47"/>
      <c r="J415" s="45" t="s">
        <v>156</v>
      </c>
      <c r="K415" s="45" t="str">
        <f aca="false">HYPERLINK("https://pub.fsa.gov.ru/rds/declaration/view/18948803/common", "ЕАЭС N RU Д-RU.РА04.В.68862/24")</f>
        <v>ЕАЭС N RU Д-RU.РА04.В.68862/24</v>
      </c>
      <c r="L415" s="46"/>
      <c r="M415" s="45"/>
      <c r="N415" s="47" t="s">
        <v>157</v>
      </c>
      <c r="O415" s="47" t="s">
        <v>158</v>
      </c>
    </row>
    <row r="416" customFormat="false" ht="17.85" hidden="false" customHeight="true" outlineLevel="0" collapsed="false">
      <c r="B416" s="40"/>
      <c r="C416" s="43" t="str">
        <f aca="false">HYPERLINK("https://www.emi-penza.ru/p/982.3777", "982.3777")</f>
        <v>982.3777</v>
      </c>
      <c r="D416" s="44" t="s">
        <v>252</v>
      </c>
      <c r="E416" s="44"/>
      <c r="F416" s="44"/>
      <c r="G416" s="44"/>
      <c r="H416" s="44"/>
      <c r="I416" s="47"/>
      <c r="J416" s="45" t="s">
        <v>156</v>
      </c>
      <c r="K416" s="45" t="str">
        <f aca="false">HYPERLINK("https://pub.fsa.gov.ru/rds/declaration/view/18948803/common", "ЕАЭС N RU Д-RU.РА04.В.68862/24")</f>
        <v>ЕАЭС N RU Д-RU.РА04.В.68862/24</v>
      </c>
      <c r="L416" s="46"/>
      <c r="M416" s="45"/>
      <c r="N416" s="47" t="s">
        <v>157</v>
      </c>
      <c r="O416" s="47" t="s">
        <v>158</v>
      </c>
    </row>
    <row r="417" customFormat="false" ht="17.85" hidden="false" customHeight="true" outlineLevel="0" collapsed="false">
      <c r="B417" s="40"/>
      <c r="C417" s="43" t="str">
        <f aca="false">HYPERLINK("https://www.emi-penza.ru/p/982.3777-001", "982.3777-001")</f>
        <v>982.3777-001</v>
      </c>
      <c r="D417" s="44" t="s">
        <v>253</v>
      </c>
      <c r="E417" s="44"/>
      <c r="F417" s="44"/>
      <c r="G417" s="44"/>
      <c r="H417" s="44"/>
      <c r="I417" s="47"/>
      <c r="J417" s="45" t="s">
        <v>156</v>
      </c>
      <c r="K417" s="45" t="str">
        <f aca="false">HYPERLINK("https://pub.fsa.gov.ru/rds/declaration/view/18948803/common", "ЕАЭС N RU Д-RU.РА04.В.68862/24")</f>
        <v>ЕАЭС N RU Д-RU.РА04.В.68862/24</v>
      </c>
      <c r="L417" s="46"/>
      <c r="M417" s="45"/>
      <c r="N417" s="47" t="s">
        <v>157</v>
      </c>
      <c r="O417" s="47" t="s">
        <v>158</v>
      </c>
    </row>
    <row r="418" customFormat="false" ht="17.85" hidden="false" customHeight="true" outlineLevel="0" collapsed="false">
      <c r="B418" s="40"/>
      <c r="C418" s="43" t="str">
        <f aca="false">HYPERLINK("https://www.emi-penza.ru/p/98.3777-01", "98.3777-01")</f>
        <v>98.3777-01</v>
      </c>
      <c r="D418" s="44" t="s">
        <v>254</v>
      </c>
      <c r="E418" s="44"/>
      <c r="F418" s="44"/>
      <c r="G418" s="44"/>
      <c r="H418" s="44"/>
      <c r="I418" s="47"/>
      <c r="J418" s="45" t="s">
        <v>156</v>
      </c>
      <c r="K418" s="45" t="str">
        <f aca="false">HYPERLINK("https://pub.fsa.gov.ru/rds/declaration/view/18948803/common", "ЕАЭС N RU Д-RU.РА04.В.68862/24")</f>
        <v>ЕАЭС N RU Д-RU.РА04.В.68862/24</v>
      </c>
      <c r="L418" s="46"/>
      <c r="M418" s="45"/>
      <c r="N418" s="47" t="s">
        <v>157</v>
      </c>
      <c r="O418" s="47" t="s">
        <v>158</v>
      </c>
    </row>
    <row r="419" customFormat="false" ht="17.85" hidden="false" customHeight="true" outlineLevel="0" collapsed="false">
      <c r="B419" s="40"/>
      <c r="C419" s="43" t="str">
        <f aca="false">HYPERLINK("https://www.emi-penza.ru/p/982.3777-01", "982.3777-01")</f>
        <v>982.3777-01</v>
      </c>
      <c r="D419" s="44" t="s">
        <v>255</v>
      </c>
      <c r="E419" s="44"/>
      <c r="F419" s="44"/>
      <c r="G419" s="44"/>
      <c r="H419" s="44"/>
      <c r="I419" s="47"/>
      <c r="J419" s="45" t="s">
        <v>156</v>
      </c>
      <c r="K419" s="45" t="str">
        <f aca="false">HYPERLINK("https://pub.fsa.gov.ru/rds/declaration/view/18948803/common", "ЕАЭС N RU Д-RU.РА04.В.68862/24")</f>
        <v>ЕАЭС N RU Д-RU.РА04.В.68862/24</v>
      </c>
      <c r="L419" s="46"/>
      <c r="M419" s="45"/>
      <c r="N419" s="47" t="s">
        <v>157</v>
      </c>
      <c r="O419" s="47" t="s">
        <v>158</v>
      </c>
    </row>
    <row r="420" customFormat="false" ht="17.85" hidden="false" customHeight="true" outlineLevel="0" collapsed="false">
      <c r="B420" s="40"/>
      <c r="C420" s="43" t="str">
        <f aca="false">HYPERLINK("https://www.emi-penza.ru/p/984.3777", "984.3777")</f>
        <v>984.3777</v>
      </c>
      <c r="D420" s="44" t="s">
        <v>256</v>
      </c>
      <c r="E420" s="44"/>
      <c r="F420" s="44"/>
      <c r="G420" s="44"/>
      <c r="H420" s="44"/>
      <c r="I420" s="47"/>
      <c r="J420" s="45" t="s">
        <v>156</v>
      </c>
      <c r="K420" s="45" t="str">
        <f aca="false">HYPERLINK("https://pub.fsa.gov.ru/rds/declaration/view/18948803/common", "ЕАЭС N RU Д-RU.РА04.В.68862/24")</f>
        <v>ЕАЭС N RU Д-RU.РА04.В.68862/24</v>
      </c>
      <c r="L420" s="46"/>
      <c r="M420" s="45"/>
      <c r="N420" s="47" t="s">
        <v>157</v>
      </c>
      <c r="O420" s="47" t="s">
        <v>158</v>
      </c>
    </row>
    <row r="421" customFormat="false" ht="17.85" hidden="false" customHeight="true" outlineLevel="0" collapsed="false">
      <c r="B421" s="40"/>
      <c r="C421" s="88" t="str">
        <f aca="false">HYPERLINK("https://www.emi-penza.ru/p/986.3777", "986.3777")</f>
        <v>986.3777</v>
      </c>
      <c r="D421" s="89" t="s">
        <v>257</v>
      </c>
      <c r="E421" s="89"/>
      <c r="F421" s="89"/>
      <c r="G421" s="89"/>
      <c r="H421" s="89"/>
      <c r="I421" s="90"/>
      <c r="J421" s="91" t="s">
        <v>156</v>
      </c>
      <c r="K421" s="91" t="str">
        <f aca="false">HYPERLINK("https://pub.fsa.gov.ru/rds/declaration/view/18948803/common", "ЕАЭС N RU Д-RU.РА04.В.68862/24")</f>
        <v>ЕАЭС N RU Д-RU.РА04.В.68862/24</v>
      </c>
      <c r="L421" s="92"/>
      <c r="M421" s="91"/>
      <c r="N421" s="90" t="s">
        <v>157</v>
      </c>
      <c r="O421" s="90" t="s">
        <v>158</v>
      </c>
    </row>
    <row r="422" customFormat="false" ht="5.1" hidden="false" customHeight="true" outlineLevel="0" collapsed="false">
      <c r="B422" s="3"/>
      <c r="N422" s="3"/>
      <c r="O422" s="3"/>
    </row>
    <row r="423" customFormat="false" ht="17.85" hidden="false" customHeight="true" outlineLevel="0" collapsed="false">
      <c r="B423" s="40"/>
      <c r="C423" s="43" t="str">
        <f aca="false">HYPERLINK("https://www.emi-penza.ru/p/98.3777-10", "98.3777-10")</f>
        <v>98.3777-10</v>
      </c>
      <c r="D423" s="44" t="s">
        <v>258</v>
      </c>
      <c r="E423" s="44"/>
      <c r="F423" s="44"/>
      <c r="G423" s="44"/>
      <c r="H423" s="44"/>
      <c r="I423" s="47"/>
      <c r="J423" s="45" t="s">
        <v>156</v>
      </c>
      <c r="K423" s="45" t="str">
        <f aca="false">HYPERLINK("https://pub.fsa.gov.ru/rds/declaration/view/18948803/common", "ЕАЭС N RU Д-RU.РА04.В.68862/24")</f>
        <v>ЕАЭС N RU Д-RU.РА04.В.68862/24</v>
      </c>
      <c r="L423" s="46"/>
      <c r="M423" s="45"/>
      <c r="N423" s="47" t="s">
        <v>157</v>
      </c>
      <c r="O423" s="47" t="s">
        <v>158</v>
      </c>
    </row>
    <row r="424" customFormat="false" ht="17.85" hidden="false" customHeight="true" outlineLevel="0" collapsed="false">
      <c r="B424" s="42"/>
      <c r="C424" s="43" t="str">
        <f aca="false">HYPERLINK("https://www.emi-penza.ru/p/98.3777-102", "98.3777-102")</f>
        <v>98.3777-102</v>
      </c>
      <c r="D424" s="44"/>
      <c r="E424" s="44"/>
      <c r="F424" s="44"/>
      <c r="G424" s="44"/>
      <c r="H424" s="44"/>
      <c r="I424" s="47"/>
      <c r="J424" s="45" t="s">
        <v>156</v>
      </c>
      <c r="K424" s="45" t="str">
        <f aca="false">HYPERLINK("https://pub.fsa.gov.ru/rds/declaration/view/18948803/common", "ЕАЭС N RU Д-RU.РА04.В.68862/24")</f>
        <v>ЕАЭС N RU Д-RU.РА04.В.68862/24</v>
      </c>
      <c r="L424" s="46"/>
      <c r="M424" s="45"/>
      <c r="N424" s="47" t="s">
        <v>157</v>
      </c>
      <c r="O424" s="47" t="s">
        <v>158</v>
      </c>
    </row>
    <row r="425" customFormat="false" ht="17.85" hidden="false" customHeight="true" outlineLevel="0" collapsed="false">
      <c r="B425" s="42"/>
      <c r="C425" s="43" t="str">
        <f aca="false">HYPERLINK("https://www.emi-penza.ru/p/98.3777-112", "98.3777-112")</f>
        <v>98.3777-112</v>
      </c>
      <c r="D425" s="44"/>
      <c r="E425" s="44"/>
      <c r="F425" s="44"/>
      <c r="G425" s="44"/>
      <c r="H425" s="44"/>
      <c r="I425" s="47"/>
      <c r="J425" s="45" t="s">
        <v>156</v>
      </c>
      <c r="K425" s="45" t="str">
        <f aca="false">HYPERLINK("https://pub.fsa.gov.ru/rds/declaration/view/18948803/common", "ЕАЭС N RU Д-RU.РА04.В.68862/24")</f>
        <v>ЕАЭС N RU Д-RU.РА04.В.68862/24</v>
      </c>
      <c r="L425" s="46"/>
      <c r="M425" s="45"/>
      <c r="N425" s="47" t="s">
        <v>157</v>
      </c>
      <c r="O425" s="47" t="s">
        <v>158</v>
      </c>
    </row>
    <row r="426" customFormat="false" ht="17.85" hidden="false" customHeight="true" outlineLevel="0" collapsed="false">
      <c r="B426" s="40"/>
      <c r="C426" s="43" t="str">
        <f aca="false">HYPERLINK("https://www.emi-penza.ru/p/982.3777-10", "982.3777-10")</f>
        <v>982.3777-10</v>
      </c>
      <c r="D426" s="44" t="s">
        <v>259</v>
      </c>
      <c r="E426" s="44"/>
      <c r="F426" s="44"/>
      <c r="G426" s="44"/>
      <c r="H426" s="44"/>
      <c r="I426" s="47"/>
      <c r="J426" s="45" t="s">
        <v>156</v>
      </c>
      <c r="K426" s="45" t="str">
        <f aca="false">HYPERLINK("https://pub.fsa.gov.ru/rds/declaration/view/18948803/common", "ЕАЭС N RU Д-RU.РА04.В.68862/24")</f>
        <v>ЕАЭС N RU Д-RU.РА04.В.68862/24</v>
      </c>
      <c r="L426" s="46"/>
      <c r="M426" s="45"/>
      <c r="N426" s="47" t="s">
        <v>157</v>
      </c>
      <c r="O426" s="47" t="s">
        <v>158</v>
      </c>
    </row>
    <row r="427" customFormat="false" ht="17.85" hidden="false" customHeight="true" outlineLevel="0" collapsed="false">
      <c r="B427" s="40"/>
      <c r="C427" s="43" t="str">
        <f aca="false">HYPERLINK("https://www.emi-penza.ru/p/98.3777-11", "98.3777-11")</f>
        <v>98.3777-11</v>
      </c>
      <c r="D427" s="44" t="s">
        <v>260</v>
      </c>
      <c r="E427" s="44"/>
      <c r="F427" s="44"/>
      <c r="G427" s="44"/>
      <c r="H427" s="44"/>
      <c r="I427" s="47"/>
      <c r="J427" s="45" t="s">
        <v>156</v>
      </c>
      <c r="K427" s="45" t="str">
        <f aca="false">HYPERLINK("https://pub.fsa.gov.ru/rds/declaration/view/18948803/common", "ЕАЭС N RU Д-RU.РА04.В.68862/24")</f>
        <v>ЕАЭС N RU Д-RU.РА04.В.68862/24</v>
      </c>
      <c r="L427" s="46"/>
      <c r="M427" s="45"/>
      <c r="N427" s="47" t="s">
        <v>157</v>
      </c>
      <c r="O427" s="47" t="s">
        <v>158</v>
      </c>
    </row>
    <row r="428" customFormat="false" ht="17.85" hidden="false" customHeight="true" outlineLevel="0" collapsed="false">
      <c r="B428" s="40"/>
      <c r="C428" s="43" t="str">
        <f aca="false">HYPERLINK("https://www.emi-penza.ru/p/982.3777-11", "982.3777-11")</f>
        <v>982.3777-11</v>
      </c>
      <c r="D428" s="44" t="s">
        <v>261</v>
      </c>
      <c r="E428" s="44"/>
      <c r="F428" s="44"/>
      <c r="G428" s="44"/>
      <c r="H428" s="44"/>
      <c r="I428" s="47"/>
      <c r="J428" s="45" t="s">
        <v>156</v>
      </c>
      <c r="K428" s="45" t="str">
        <f aca="false">HYPERLINK("https://pub.fsa.gov.ru/rds/declaration/view/18948803/common", "ЕАЭС N RU Д-RU.РА04.В.68862/24")</f>
        <v>ЕАЭС N RU Д-RU.РА04.В.68862/24</v>
      </c>
      <c r="L428" s="46"/>
      <c r="M428" s="45"/>
      <c r="N428" s="47" t="s">
        <v>157</v>
      </c>
      <c r="O428" s="47" t="s">
        <v>158</v>
      </c>
    </row>
    <row r="429" customFormat="false" ht="17.85" hidden="false" customHeight="true" outlineLevel="0" collapsed="false">
      <c r="B429" s="40"/>
      <c r="C429" s="43" t="str">
        <f aca="false">HYPERLINK("https://www.emi-penza.ru/p/984.3777-10", "984.3777-10")</f>
        <v>984.3777-10</v>
      </c>
      <c r="D429" s="44" t="s">
        <v>262</v>
      </c>
      <c r="E429" s="44"/>
      <c r="F429" s="44"/>
      <c r="G429" s="44"/>
      <c r="H429" s="44"/>
      <c r="I429" s="47"/>
      <c r="J429" s="45" t="s">
        <v>156</v>
      </c>
      <c r="K429" s="45" t="str">
        <f aca="false">HYPERLINK("https://pub.fsa.gov.ru/rds/declaration/view/18948803/common", "ЕАЭС N RU Д-RU.РА04.В.68862/24")</f>
        <v>ЕАЭС N RU Д-RU.РА04.В.68862/24</v>
      </c>
      <c r="L429" s="46"/>
      <c r="M429" s="45"/>
      <c r="N429" s="47" t="s">
        <v>157</v>
      </c>
      <c r="O429" s="47" t="s">
        <v>158</v>
      </c>
    </row>
    <row r="430" customFormat="false" ht="17.85" hidden="false" customHeight="true" outlineLevel="0" collapsed="false">
      <c r="B430" s="40"/>
      <c r="C430" s="88" t="str">
        <f aca="false">HYPERLINK("https://www.emi-penza.ru/p/986.3777-10", "986.3777-10")</f>
        <v>986.3777-10</v>
      </c>
      <c r="D430" s="89" t="s">
        <v>263</v>
      </c>
      <c r="E430" s="89"/>
      <c r="F430" s="89"/>
      <c r="G430" s="89"/>
      <c r="H430" s="89"/>
      <c r="I430" s="90"/>
      <c r="J430" s="91" t="s">
        <v>156</v>
      </c>
      <c r="K430" s="91" t="str">
        <f aca="false">HYPERLINK("https://pub.fsa.gov.ru/rds/declaration/view/18948803/common", "ЕАЭС N RU Д-RU.РА04.В.68862/24")</f>
        <v>ЕАЭС N RU Д-RU.РА04.В.68862/24</v>
      </c>
      <c r="L430" s="92"/>
      <c r="M430" s="91"/>
      <c r="N430" s="90" t="s">
        <v>157</v>
      </c>
      <c r="O430" s="90" t="s">
        <v>158</v>
      </c>
    </row>
    <row r="431" customFormat="false" ht="5.1" hidden="false" customHeight="true" outlineLevel="0" collapsed="false">
      <c r="B431" s="3"/>
      <c r="N431" s="3"/>
      <c r="O431" s="3"/>
    </row>
    <row r="432" customFormat="false" ht="17.85" hidden="false" customHeight="true" outlineLevel="0" collapsed="false">
      <c r="B432" s="40"/>
      <c r="C432" s="43" t="str">
        <f aca="false">HYPERLINK("https://www.emi-penza.ru/p/981.3777", "981.3777")</f>
        <v>981.3777</v>
      </c>
      <c r="D432" s="44" t="s">
        <v>264</v>
      </c>
      <c r="E432" s="44"/>
      <c r="F432" s="44"/>
      <c r="G432" s="44"/>
      <c r="H432" s="44"/>
      <c r="I432" s="47"/>
      <c r="J432" s="45" t="s">
        <v>156</v>
      </c>
      <c r="K432" s="45" t="str">
        <f aca="false">HYPERLINK("https://pub.fsa.gov.ru/rds/declaration/view/18948803/common", "ЕАЭС N RU Д-RU.РА04.В.68862/24")</f>
        <v>ЕАЭС N RU Д-RU.РА04.В.68862/24</v>
      </c>
      <c r="L432" s="46"/>
      <c r="M432" s="45"/>
      <c r="N432" s="47" t="s">
        <v>157</v>
      </c>
      <c r="O432" s="47" t="s">
        <v>158</v>
      </c>
    </row>
    <row r="433" customFormat="false" ht="17.85" hidden="false" customHeight="true" outlineLevel="0" collapsed="false">
      <c r="B433" s="40"/>
      <c r="C433" s="43" t="str">
        <f aca="false">HYPERLINK("https://www.emi-penza.ru/p/981.3777-001", "981.3777-001")</f>
        <v>981.3777-001</v>
      </c>
      <c r="D433" s="44" t="s">
        <v>265</v>
      </c>
      <c r="E433" s="44"/>
      <c r="F433" s="44"/>
      <c r="G433" s="44"/>
      <c r="H433" s="44"/>
      <c r="I433" s="47"/>
      <c r="J433" s="45" t="s">
        <v>156</v>
      </c>
      <c r="K433" s="45" t="str">
        <f aca="false">HYPERLINK("https://pub.fsa.gov.ru/rds/declaration/view/18948803/common", "ЕАЭС N RU Д-RU.РА04.В.68862/24")</f>
        <v>ЕАЭС N RU Д-RU.РА04.В.68862/24</v>
      </c>
      <c r="L433" s="46"/>
      <c r="M433" s="45"/>
      <c r="N433" s="47" t="s">
        <v>157</v>
      </c>
      <c r="O433" s="47" t="s">
        <v>158</v>
      </c>
    </row>
    <row r="434" customFormat="false" ht="17.85" hidden="false" customHeight="true" outlineLevel="0" collapsed="false">
      <c r="B434" s="42"/>
      <c r="C434" s="43" t="str">
        <f aca="false">HYPERLINK("https://www.emi-penza.ru/p/981.3777-002", "981.3777-002")</f>
        <v>981.3777-002</v>
      </c>
      <c r="D434" s="44"/>
      <c r="E434" s="44"/>
      <c r="F434" s="44"/>
      <c r="G434" s="44"/>
      <c r="H434" s="44"/>
      <c r="I434" s="47"/>
      <c r="J434" s="45" t="s">
        <v>156</v>
      </c>
      <c r="K434" s="45" t="str">
        <f aca="false">HYPERLINK("https://pub.fsa.gov.ru/rds/declaration/view/18948803/common", "ЕАЭС N RU Д-RU.РА04.В.68862/24")</f>
        <v>ЕАЭС N RU Д-RU.РА04.В.68862/24</v>
      </c>
      <c r="L434" s="46"/>
      <c r="M434" s="45"/>
      <c r="N434" s="47" t="s">
        <v>157</v>
      </c>
      <c r="O434" s="47" t="s">
        <v>158</v>
      </c>
    </row>
    <row r="435" customFormat="false" ht="17.85" hidden="false" customHeight="true" outlineLevel="0" collapsed="false">
      <c r="B435" s="42"/>
      <c r="C435" s="43" t="str">
        <f aca="false">HYPERLINK("https://www.emi-penza.ru/p/981.3777-012", "981.3777-012")</f>
        <v>981.3777-012</v>
      </c>
      <c r="D435" s="44"/>
      <c r="E435" s="44"/>
      <c r="F435" s="44"/>
      <c r="G435" s="44"/>
      <c r="H435" s="44"/>
      <c r="I435" s="47"/>
      <c r="J435" s="45" t="s">
        <v>156</v>
      </c>
      <c r="K435" s="45" t="str">
        <f aca="false">HYPERLINK("https://pub.fsa.gov.ru/rds/declaration/view/18948803/common", "ЕАЭС N RU Д-RU.РА04.В.68862/24")</f>
        <v>ЕАЭС N RU Д-RU.РА04.В.68862/24</v>
      </c>
      <c r="L435" s="46"/>
      <c r="M435" s="45"/>
      <c r="N435" s="47" t="s">
        <v>157</v>
      </c>
      <c r="O435" s="47" t="s">
        <v>158</v>
      </c>
    </row>
    <row r="436" customFormat="false" ht="17.85" hidden="false" customHeight="true" outlineLevel="0" collapsed="false">
      <c r="B436" s="40"/>
      <c r="C436" s="43" t="str">
        <f aca="false">HYPERLINK("https://www.emi-penza.ru/p/983.3777", "983.3777")</f>
        <v>983.3777</v>
      </c>
      <c r="D436" s="44" t="s">
        <v>266</v>
      </c>
      <c r="E436" s="44"/>
      <c r="F436" s="44"/>
      <c r="G436" s="44"/>
      <c r="H436" s="44"/>
      <c r="I436" s="47"/>
      <c r="J436" s="45" t="s">
        <v>156</v>
      </c>
      <c r="K436" s="45" t="str">
        <f aca="false">HYPERLINK("https://pub.fsa.gov.ru/rds/declaration/view/18948803/common", "ЕАЭС N RU Д-RU.РА04.В.68862/24")</f>
        <v>ЕАЭС N RU Д-RU.РА04.В.68862/24</v>
      </c>
      <c r="L436" s="46"/>
      <c r="M436" s="45"/>
      <c r="N436" s="47" t="s">
        <v>157</v>
      </c>
      <c r="O436" s="47" t="s">
        <v>158</v>
      </c>
    </row>
    <row r="437" customFormat="false" ht="17.85" hidden="false" customHeight="true" outlineLevel="0" collapsed="false">
      <c r="B437" s="40"/>
      <c r="C437" s="43" t="str">
        <f aca="false">HYPERLINK("https://www.emi-penza.ru/p/981.3777-01", "981.3777-01")</f>
        <v>981.3777-01</v>
      </c>
      <c r="D437" s="44" t="s">
        <v>267</v>
      </c>
      <c r="E437" s="44"/>
      <c r="F437" s="44"/>
      <c r="G437" s="44"/>
      <c r="H437" s="44"/>
      <c r="I437" s="47"/>
      <c r="J437" s="45" t="s">
        <v>156</v>
      </c>
      <c r="K437" s="45" t="str">
        <f aca="false">HYPERLINK("https://pub.fsa.gov.ru/rds/declaration/view/18948803/common", "ЕАЭС N RU Д-RU.РА04.В.68862/24")</f>
        <v>ЕАЭС N RU Д-RU.РА04.В.68862/24</v>
      </c>
      <c r="L437" s="46"/>
      <c r="M437" s="45"/>
      <c r="N437" s="47" t="s">
        <v>157</v>
      </c>
      <c r="O437" s="47" t="s">
        <v>158</v>
      </c>
    </row>
    <row r="438" customFormat="false" ht="17.85" hidden="false" customHeight="true" outlineLevel="0" collapsed="false">
      <c r="B438" s="40"/>
      <c r="C438" s="43" t="str">
        <f aca="false">HYPERLINK("https://www.emi-penza.ru/p/983.3777-01", "983.3777-01")</f>
        <v>983.3777-01</v>
      </c>
      <c r="D438" s="44" t="s">
        <v>268</v>
      </c>
      <c r="E438" s="44"/>
      <c r="F438" s="44"/>
      <c r="G438" s="44"/>
      <c r="H438" s="44"/>
      <c r="I438" s="47"/>
      <c r="J438" s="45" t="s">
        <v>156</v>
      </c>
      <c r="K438" s="45" t="str">
        <f aca="false">HYPERLINK("https://pub.fsa.gov.ru/rds/declaration/view/18948803/common", "ЕАЭС N RU Д-RU.РА04.В.68862/24")</f>
        <v>ЕАЭС N RU Д-RU.РА04.В.68862/24</v>
      </c>
      <c r="L438" s="46"/>
      <c r="M438" s="45"/>
      <c r="N438" s="47" t="s">
        <v>157</v>
      </c>
      <c r="O438" s="47" t="s">
        <v>158</v>
      </c>
    </row>
    <row r="439" customFormat="false" ht="17.85" hidden="false" customHeight="true" outlineLevel="0" collapsed="false">
      <c r="B439" s="40"/>
      <c r="C439" s="43" t="str">
        <f aca="false">HYPERLINK("https://www.emi-penza.ru/p/985.3777", "985.3777")</f>
        <v>985.3777</v>
      </c>
      <c r="D439" s="44" t="s">
        <v>269</v>
      </c>
      <c r="E439" s="44"/>
      <c r="F439" s="44"/>
      <c r="G439" s="44"/>
      <c r="H439" s="44"/>
      <c r="I439" s="47"/>
      <c r="J439" s="45" t="s">
        <v>156</v>
      </c>
      <c r="K439" s="45" t="str">
        <f aca="false">HYPERLINK("https://pub.fsa.gov.ru/rds/declaration/view/18948803/common", "ЕАЭС N RU Д-RU.РА04.В.68862/24")</f>
        <v>ЕАЭС N RU Д-RU.РА04.В.68862/24</v>
      </c>
      <c r="L439" s="46"/>
      <c r="M439" s="45"/>
      <c r="N439" s="47" t="s">
        <v>157</v>
      </c>
      <c r="O439" s="47" t="s">
        <v>158</v>
      </c>
    </row>
    <row r="440" customFormat="false" ht="17.85" hidden="false" customHeight="true" outlineLevel="0" collapsed="false">
      <c r="B440" s="40"/>
      <c r="C440" s="88" t="str">
        <f aca="false">HYPERLINK("https://www.emi-penza.ru/p/987.3777", "987.3777")</f>
        <v>987.3777</v>
      </c>
      <c r="D440" s="89" t="s">
        <v>270</v>
      </c>
      <c r="E440" s="89"/>
      <c r="F440" s="89"/>
      <c r="G440" s="89"/>
      <c r="H440" s="89"/>
      <c r="I440" s="90"/>
      <c r="J440" s="91" t="s">
        <v>156</v>
      </c>
      <c r="K440" s="91" t="str">
        <f aca="false">HYPERLINK("https://pub.fsa.gov.ru/rds/declaration/view/18948803/common", "ЕАЭС N RU Д-RU.РА04.В.68862/24")</f>
        <v>ЕАЭС N RU Д-RU.РА04.В.68862/24</v>
      </c>
      <c r="L440" s="92"/>
      <c r="M440" s="91"/>
      <c r="N440" s="90" t="s">
        <v>157</v>
      </c>
      <c r="O440" s="90" t="s">
        <v>158</v>
      </c>
    </row>
    <row r="441" customFormat="false" ht="5.1" hidden="false" customHeight="true" outlineLevel="0" collapsed="false">
      <c r="B441" s="3"/>
      <c r="N441" s="3"/>
      <c r="O441" s="3"/>
    </row>
    <row r="442" customFormat="false" ht="17.85" hidden="false" customHeight="true" outlineLevel="0" collapsed="false">
      <c r="B442" s="40"/>
      <c r="C442" s="43" t="str">
        <f aca="false">HYPERLINK("https://www.emi-penza.ru/p/981.3777-10", "981.3777-10")</f>
        <v>981.3777-10</v>
      </c>
      <c r="D442" s="44" t="s">
        <v>271</v>
      </c>
      <c r="E442" s="44"/>
      <c r="F442" s="44"/>
      <c r="G442" s="44"/>
      <c r="H442" s="44"/>
      <c r="I442" s="47"/>
      <c r="J442" s="45" t="s">
        <v>156</v>
      </c>
      <c r="K442" s="45" t="str">
        <f aca="false">HYPERLINK("https://pub.fsa.gov.ru/rds/declaration/view/18948803/common", "ЕАЭС N RU Д-RU.РА04.В.68862/24")</f>
        <v>ЕАЭС N RU Д-RU.РА04.В.68862/24</v>
      </c>
      <c r="L442" s="46"/>
      <c r="M442" s="45"/>
      <c r="N442" s="47" t="s">
        <v>157</v>
      </c>
      <c r="O442" s="47" t="s">
        <v>158</v>
      </c>
    </row>
    <row r="443" customFormat="false" ht="17.85" hidden="false" customHeight="true" outlineLevel="0" collapsed="false">
      <c r="B443" s="42"/>
      <c r="C443" s="43" t="str">
        <f aca="false">HYPERLINK("https://www.emi-penza.ru/p/981.3777-102", "981.3777-102")</f>
        <v>981.3777-102</v>
      </c>
      <c r="D443" s="44"/>
      <c r="E443" s="44"/>
      <c r="F443" s="44"/>
      <c r="G443" s="44"/>
      <c r="H443" s="44"/>
      <c r="I443" s="47"/>
      <c r="J443" s="45" t="s">
        <v>156</v>
      </c>
      <c r="K443" s="45" t="str">
        <f aca="false">HYPERLINK("https://pub.fsa.gov.ru/rds/declaration/view/18948803/common", "ЕАЭС N RU Д-RU.РА04.В.68862/24")</f>
        <v>ЕАЭС N RU Д-RU.РА04.В.68862/24</v>
      </c>
      <c r="L443" s="46"/>
      <c r="M443" s="45"/>
      <c r="N443" s="47" t="s">
        <v>157</v>
      </c>
      <c r="O443" s="47" t="s">
        <v>158</v>
      </c>
    </row>
    <row r="444" customFormat="false" ht="17.85" hidden="false" customHeight="true" outlineLevel="0" collapsed="false">
      <c r="B444" s="42"/>
      <c r="C444" s="43" t="str">
        <f aca="false">HYPERLINK("https://www.emi-penza.ru/p/981.3777-112", "981.3777-112")</f>
        <v>981.3777-112</v>
      </c>
      <c r="D444" s="44"/>
      <c r="E444" s="44"/>
      <c r="F444" s="44"/>
      <c r="G444" s="44"/>
      <c r="H444" s="44"/>
      <c r="I444" s="47"/>
      <c r="J444" s="45" t="s">
        <v>156</v>
      </c>
      <c r="K444" s="45" t="str">
        <f aca="false">HYPERLINK("https://pub.fsa.gov.ru/rds/declaration/view/18948803/common", "ЕАЭС N RU Д-RU.РА04.В.68862/24")</f>
        <v>ЕАЭС N RU Д-RU.РА04.В.68862/24</v>
      </c>
      <c r="L444" s="46"/>
      <c r="M444" s="45"/>
      <c r="N444" s="47" t="s">
        <v>157</v>
      </c>
      <c r="O444" s="47" t="s">
        <v>158</v>
      </c>
    </row>
    <row r="445" customFormat="false" ht="17.85" hidden="false" customHeight="true" outlineLevel="0" collapsed="false">
      <c r="B445" s="40"/>
      <c r="C445" s="43" t="str">
        <f aca="false">HYPERLINK("https://www.emi-penza.ru/p/983.3777-10", "983.3777-10")</f>
        <v>983.3777-10</v>
      </c>
      <c r="D445" s="44" t="s">
        <v>272</v>
      </c>
      <c r="E445" s="44"/>
      <c r="F445" s="44"/>
      <c r="G445" s="44"/>
      <c r="H445" s="44"/>
      <c r="I445" s="47"/>
      <c r="J445" s="45" t="s">
        <v>156</v>
      </c>
      <c r="K445" s="45" t="str">
        <f aca="false">HYPERLINK("https://pub.fsa.gov.ru/rds/declaration/view/18948803/common", "ЕАЭС N RU Д-RU.РА04.В.68862/24")</f>
        <v>ЕАЭС N RU Д-RU.РА04.В.68862/24</v>
      </c>
      <c r="L445" s="46"/>
      <c r="M445" s="45"/>
      <c r="N445" s="47" t="s">
        <v>157</v>
      </c>
      <c r="O445" s="47" t="s">
        <v>158</v>
      </c>
    </row>
    <row r="446" customFormat="false" ht="17.85" hidden="false" customHeight="true" outlineLevel="0" collapsed="false">
      <c r="B446" s="40"/>
      <c r="C446" s="43" t="str">
        <f aca="false">HYPERLINK("https://www.emi-penza.ru/p/981.3777-11", "981.3777-11")</f>
        <v>981.3777-11</v>
      </c>
      <c r="D446" s="44" t="s">
        <v>273</v>
      </c>
      <c r="E446" s="44"/>
      <c r="F446" s="44"/>
      <c r="G446" s="44"/>
      <c r="H446" s="44"/>
      <c r="I446" s="47"/>
      <c r="J446" s="45" t="s">
        <v>156</v>
      </c>
      <c r="K446" s="45" t="str">
        <f aca="false">HYPERLINK("https://pub.fsa.gov.ru/rds/declaration/view/18948803/common", "ЕАЭС N RU Д-RU.РА04.В.68862/24")</f>
        <v>ЕАЭС N RU Д-RU.РА04.В.68862/24</v>
      </c>
      <c r="L446" s="46"/>
      <c r="M446" s="45"/>
      <c r="N446" s="47" t="s">
        <v>157</v>
      </c>
      <c r="O446" s="47" t="s">
        <v>158</v>
      </c>
    </row>
    <row r="447" customFormat="false" ht="17.85" hidden="false" customHeight="true" outlineLevel="0" collapsed="false">
      <c r="B447" s="40"/>
      <c r="C447" s="43" t="str">
        <f aca="false">HYPERLINK("https://www.emi-penza.ru/p/983.3777-11", "983.3777-11")</f>
        <v>983.3777-11</v>
      </c>
      <c r="D447" s="44" t="s">
        <v>274</v>
      </c>
      <c r="E447" s="44"/>
      <c r="F447" s="44"/>
      <c r="G447" s="44"/>
      <c r="H447" s="44"/>
      <c r="I447" s="47"/>
      <c r="J447" s="45" t="s">
        <v>156</v>
      </c>
      <c r="K447" s="45" t="str">
        <f aca="false">HYPERLINK("https://pub.fsa.gov.ru/rds/declaration/view/18948803/common", "ЕАЭС N RU Д-RU.РА04.В.68862/24")</f>
        <v>ЕАЭС N RU Д-RU.РА04.В.68862/24</v>
      </c>
      <c r="L447" s="46"/>
      <c r="M447" s="45"/>
      <c r="N447" s="47" t="s">
        <v>157</v>
      </c>
      <c r="O447" s="47" t="s">
        <v>158</v>
      </c>
    </row>
    <row r="448" customFormat="false" ht="17.85" hidden="false" customHeight="true" outlineLevel="0" collapsed="false">
      <c r="B448" s="40"/>
      <c r="C448" s="43" t="str">
        <f aca="false">HYPERLINK("https://www.emi-penza.ru/p/985.3777-10", "985.3777-10")</f>
        <v>985.3777-10</v>
      </c>
      <c r="D448" s="44" t="s">
        <v>275</v>
      </c>
      <c r="E448" s="44"/>
      <c r="F448" s="44"/>
      <c r="G448" s="44"/>
      <c r="H448" s="44"/>
      <c r="I448" s="47"/>
      <c r="J448" s="45" t="s">
        <v>156</v>
      </c>
      <c r="K448" s="45" t="str">
        <f aca="false">HYPERLINK("https://pub.fsa.gov.ru/rds/declaration/view/18948803/common", "ЕАЭС N RU Д-RU.РА04.В.68862/24")</f>
        <v>ЕАЭС N RU Д-RU.РА04.В.68862/24</v>
      </c>
      <c r="L448" s="46"/>
      <c r="M448" s="45"/>
      <c r="N448" s="47" t="s">
        <v>157</v>
      </c>
      <c r="O448" s="47" t="s">
        <v>158</v>
      </c>
    </row>
    <row r="449" customFormat="false" ht="17.85" hidden="false" customHeight="true" outlineLevel="0" collapsed="false">
      <c r="B449" s="40"/>
      <c r="C449" s="88" t="str">
        <f aca="false">HYPERLINK("https://www.emi-penza.ru/p/987.3777-10", "987.3777-10")</f>
        <v>987.3777-10</v>
      </c>
      <c r="D449" s="89" t="s">
        <v>276</v>
      </c>
      <c r="E449" s="89"/>
      <c r="F449" s="89"/>
      <c r="G449" s="89"/>
      <c r="H449" s="89"/>
      <c r="I449" s="90"/>
      <c r="J449" s="91" t="s">
        <v>156</v>
      </c>
      <c r="K449" s="91" t="str">
        <f aca="false">HYPERLINK("https://pub.fsa.gov.ru/rds/declaration/view/18948803/common", "ЕАЭС N RU Д-RU.РА04.В.68862/24")</f>
        <v>ЕАЭС N RU Д-RU.РА04.В.68862/24</v>
      </c>
      <c r="L449" s="92"/>
      <c r="M449" s="91"/>
      <c r="N449" s="90" t="s">
        <v>157</v>
      </c>
      <c r="O449" s="90" t="s">
        <v>158</v>
      </c>
    </row>
    <row r="450" customFormat="false" ht="5.1" hidden="false" customHeight="true" outlineLevel="0" collapsed="false">
      <c r="B450" s="3"/>
    </row>
    <row r="451" customFormat="false" ht="11.35" hidden="false" customHeight="true" outlineLevel="0" collapsed="false">
      <c r="B451" s="71"/>
      <c r="C451" s="121" t="s">
        <v>277</v>
      </c>
      <c r="D451" s="122" t="s">
        <v>278</v>
      </c>
      <c r="E451" s="122"/>
      <c r="F451" s="122"/>
      <c r="G451" s="71"/>
      <c r="H451" s="71"/>
      <c r="I451" s="74"/>
      <c r="J451" s="73"/>
      <c r="K451" s="73"/>
      <c r="L451" s="72"/>
      <c r="M451" s="73"/>
      <c r="O451" s="119"/>
    </row>
    <row r="452" customFormat="false" ht="11.35" hidden="false" customHeight="true" outlineLevel="0" collapsed="false">
      <c r="B452" s="71"/>
      <c r="C452" s="123" t="s">
        <v>279</v>
      </c>
      <c r="D452" s="124" t="s">
        <v>280</v>
      </c>
      <c r="E452" s="124"/>
      <c r="F452" s="124"/>
      <c r="G452" s="125" t="str">
        <f aca="false">HYPERLINK("https://www.emi-penza.ru/-/документы/продукция/завод_ЭМИ_все_реле.pdf", "Полный список серийно выпускаемых универсальных реле насчитывает 349 модификаций.")</f>
        <v>Полный список серийно выпускаемых универсальных реле насчитывает 349 модификаций.</v>
      </c>
      <c r="H452" s="71"/>
      <c r="I452" s="74"/>
      <c r="J452" s="73"/>
      <c r="K452" s="73"/>
      <c r="L452" s="72"/>
      <c r="M452" s="73"/>
      <c r="N452" s="126" t="str">
        <f aca="false">HYPERLINK("https://www.emi-penza.ru/-/документы/продукция/завод_ЭМИ_все_реле.pdf", "Посмотреть →")</f>
        <v>Посмотреть →</v>
      </c>
      <c r="O452" s="126"/>
    </row>
    <row r="453" customFormat="false" ht="11.35" hidden="false" customHeight="true" outlineLevel="0" collapsed="false">
      <c r="B453" s="71"/>
      <c r="C453" s="127" t="s">
        <v>281</v>
      </c>
      <c r="D453" s="128" t="s">
        <v>282</v>
      </c>
      <c r="E453" s="128"/>
      <c r="F453" s="128"/>
      <c r="G453" s="125" t="str">
        <f aca="false">HYPERLINK("https://www.emi-penza.ru/-/документы/продукция/завод_ЭМИ_все_реле.pdf", "Их перечень есть на нашем сайте.")</f>
        <v>Их перечень есть на нашем сайте.</v>
      </c>
      <c r="H453" s="71"/>
      <c r="I453" s="74"/>
      <c r="J453" s="73"/>
      <c r="K453" s="73"/>
      <c r="L453" s="72"/>
      <c r="M453" s="73"/>
      <c r="N453" s="119"/>
      <c r="O453" s="119"/>
    </row>
    <row r="454" customFormat="false" ht="11.35" hidden="false" customHeight="true" outlineLevel="0" collapsed="false">
      <c r="B454" s="71"/>
      <c r="C454" s="129" t="s">
        <v>283</v>
      </c>
      <c r="D454" s="130" t="s">
        <v>284</v>
      </c>
      <c r="E454" s="130"/>
      <c r="F454" s="130"/>
      <c r="G454" s="71"/>
      <c r="H454" s="71"/>
      <c r="I454" s="74"/>
      <c r="J454" s="73"/>
      <c r="K454" s="73"/>
      <c r="L454" s="72"/>
      <c r="M454" s="73"/>
      <c r="N454" s="119"/>
      <c r="O454" s="119"/>
    </row>
    <row r="455" customFormat="false" ht="11.35" hidden="false" customHeight="true" outlineLevel="0" collapsed="false">
      <c r="B455" s="74"/>
    </row>
    <row r="456" customFormat="false" ht="22.7" hidden="false" customHeight="true" outlineLevel="0" collapsed="false">
      <c r="B456" s="3"/>
      <c r="C456" s="35" t="s">
        <v>285</v>
      </c>
      <c r="D456" s="36"/>
      <c r="E456" s="36"/>
      <c r="F456" s="36"/>
      <c r="G456" s="36"/>
      <c r="H456" s="36"/>
      <c r="I456" s="36"/>
      <c r="J456" s="37"/>
      <c r="K456" s="37"/>
      <c r="L456" s="38"/>
      <c r="M456" s="37"/>
      <c r="N456" s="39"/>
      <c r="O456" s="39"/>
    </row>
    <row r="457" customFormat="false" ht="2.85" hidden="false" customHeight="true" outlineLevel="0" collapsed="false">
      <c r="B457" s="3"/>
    </row>
    <row r="458" customFormat="false" ht="17.85" hidden="false" customHeight="true" outlineLevel="0" collapsed="false">
      <c r="B458" s="42"/>
      <c r="C458" s="131" t="str">
        <f aca="false">HYPERLINK("https://www.emi-penza.ru/p/46.3787-32-368-A-24", "46.3787-32-368-A-24")</f>
        <v>46.3787-32-368-A-24</v>
      </c>
      <c r="D458" s="44"/>
      <c r="E458" s="44" t="s">
        <v>286</v>
      </c>
      <c r="F458" s="44"/>
      <c r="G458" s="44"/>
      <c r="H458" s="44"/>
      <c r="I458" s="47"/>
      <c r="J458" s="45" t="s">
        <v>156</v>
      </c>
      <c r="K458" s="45" t="str">
        <f aca="false">HYPERLINK("https://pub.fsa.gov.ru/rds/declaration/view/18948803/common", "ЕАЭС N RU Д-RU.РА04.В.68862/24")</f>
        <v>ЕАЭС N RU Д-RU.РА04.В.68862/24</v>
      </c>
      <c r="L458" s="46"/>
      <c r="M458" s="45"/>
      <c r="N458" s="47" t="s">
        <v>157</v>
      </c>
      <c r="O458" s="47" t="s">
        <v>158</v>
      </c>
    </row>
    <row r="459" customFormat="false" ht="17.85" hidden="false" customHeight="true" outlineLevel="0" collapsed="false">
      <c r="B459" s="42"/>
      <c r="C459" s="131" t="str">
        <f aca="false">HYPERLINK("https://www.emi-penza.ru/p/46.3787-32-368-A-24-R", "46.3787-32-368-A-24-R")</f>
        <v>46.3787-32-368-A-24-R</v>
      </c>
      <c r="D459" s="44"/>
      <c r="E459" s="44" t="s">
        <v>287</v>
      </c>
      <c r="F459" s="44"/>
      <c r="G459" s="44"/>
      <c r="H459" s="44"/>
      <c r="I459" s="47"/>
      <c r="J459" s="45" t="s">
        <v>156</v>
      </c>
      <c r="K459" s="45" t="str">
        <f aca="false">HYPERLINK("https://pub.fsa.gov.ru/rds/declaration/view/18948803/common", "ЕАЭС N RU Д-RU.РА04.В.68862/24")</f>
        <v>ЕАЭС N RU Д-RU.РА04.В.68862/24</v>
      </c>
      <c r="L459" s="46"/>
      <c r="M459" s="45"/>
      <c r="N459" s="47" t="s">
        <v>157</v>
      </c>
      <c r="O459" s="47" t="s">
        <v>158</v>
      </c>
    </row>
    <row r="460" customFormat="false" ht="17.85" hidden="false" customHeight="true" outlineLevel="0" collapsed="false">
      <c r="B460" s="42"/>
      <c r="C460" s="131" t="str">
        <f aca="false">HYPERLINK("https://www.emi-penza.ru/p/64.3787-398-A-24", "64.3787-398-A-24")</f>
        <v>64.3787-398-A-24</v>
      </c>
      <c r="D460" s="44"/>
      <c r="E460" s="44" t="s">
        <v>288</v>
      </c>
      <c r="F460" s="44"/>
      <c r="G460" s="44"/>
      <c r="H460" s="44"/>
      <c r="I460" s="47"/>
      <c r="J460" s="45" t="s">
        <v>156</v>
      </c>
      <c r="K460" s="45" t="str">
        <f aca="false">HYPERLINK("https://pub.fsa.gov.ru/rds/declaration/view/18948803/common", "ЕАЭС N RU Д-RU.РА04.В.68862/24")</f>
        <v>ЕАЭС N RU Д-RU.РА04.В.68862/24</v>
      </c>
      <c r="L460" s="46"/>
      <c r="M460" s="45"/>
      <c r="N460" s="47" t="s">
        <v>157</v>
      </c>
      <c r="O460" s="47" t="s">
        <v>158</v>
      </c>
    </row>
    <row r="461" customFormat="false" ht="17.85" hidden="false" customHeight="true" outlineLevel="0" collapsed="false">
      <c r="B461" s="42"/>
      <c r="C461" s="131" t="str">
        <f aca="false">HYPERLINK("https://www.emi-penza.ru/p/64.3787-398-A-24-R", "64.3787-398-A-24-R")</f>
        <v>64.3787-398-A-24-R</v>
      </c>
      <c r="D461" s="44"/>
      <c r="E461" s="44" t="s">
        <v>289</v>
      </c>
      <c r="F461" s="44"/>
      <c r="G461" s="44"/>
      <c r="H461" s="44"/>
      <c r="I461" s="47"/>
      <c r="J461" s="45" t="s">
        <v>156</v>
      </c>
      <c r="K461" s="45" t="str">
        <f aca="false">HYPERLINK("https://pub.fsa.gov.ru/rds/declaration/view/18948803/common", "ЕАЭС N RU Д-RU.РА04.В.68862/24")</f>
        <v>ЕАЭС N RU Д-RU.РА04.В.68862/24</v>
      </c>
      <c r="L461" s="46"/>
      <c r="M461" s="45"/>
      <c r="N461" s="47" t="s">
        <v>157</v>
      </c>
      <c r="O461" s="47" t="s">
        <v>158</v>
      </c>
    </row>
    <row r="462" customFormat="false" ht="17.85" hidden="false" customHeight="true" outlineLevel="0" collapsed="false">
      <c r="B462" s="42"/>
      <c r="C462" s="131" t="str">
        <f aca="false">HYPERLINK("https://www.emi-penza.ru/p/64.3787-398-C-12-R", "64.3787-398-C-12-R")</f>
        <v>64.3787-398-C-12-R</v>
      </c>
      <c r="D462" s="44"/>
      <c r="E462" s="44" t="s">
        <v>290</v>
      </c>
      <c r="F462" s="44"/>
      <c r="G462" s="44"/>
      <c r="H462" s="44"/>
      <c r="I462" s="47"/>
      <c r="J462" s="45" t="s">
        <v>156</v>
      </c>
      <c r="K462" s="45" t="str">
        <f aca="false">HYPERLINK("https://pub.fsa.gov.ru/rds/declaration/view/18948803/common", "ЕАЭС N RU Д-RU.РА04.В.68862/24")</f>
        <v>ЕАЭС N RU Д-RU.РА04.В.68862/24</v>
      </c>
      <c r="L462" s="46"/>
      <c r="M462" s="45"/>
      <c r="N462" s="47" t="s">
        <v>157</v>
      </c>
      <c r="O462" s="47" t="s">
        <v>158</v>
      </c>
    </row>
    <row r="463" customFormat="false" ht="17.85" hidden="false" customHeight="true" outlineLevel="0" collapsed="false">
      <c r="B463" s="42"/>
      <c r="C463" s="131" t="str">
        <f aca="false">HYPERLINK("https://www.emi-penza.ru/p/64.3787-398-C-24", "64.3787-398-C-24")</f>
        <v>64.3787-398-C-24</v>
      </c>
      <c r="D463" s="44"/>
      <c r="E463" s="44" t="s">
        <v>291</v>
      </c>
      <c r="F463" s="44"/>
      <c r="G463" s="44"/>
      <c r="H463" s="44"/>
      <c r="I463" s="47"/>
      <c r="J463" s="45" t="s">
        <v>156</v>
      </c>
      <c r="K463" s="45" t="str">
        <f aca="false">HYPERLINK("https://pub.fsa.gov.ru/rds/declaration/view/18948803/common", "ЕАЭС N RU Д-RU.РА04.В.68862/24")</f>
        <v>ЕАЭС N RU Д-RU.РА04.В.68862/24</v>
      </c>
      <c r="L463" s="46"/>
      <c r="M463" s="45"/>
      <c r="N463" s="47" t="s">
        <v>157</v>
      </c>
      <c r="O463" s="47" t="s">
        <v>158</v>
      </c>
    </row>
    <row r="464" customFormat="false" ht="17.85" hidden="false" customHeight="true" outlineLevel="0" collapsed="false">
      <c r="B464" s="42"/>
      <c r="C464" s="131" t="str">
        <f aca="false">HYPERLINK("https://www.emi-penza.ru/p/64.3787-398-C-24-R", "64.3787-398-C-24-R")</f>
        <v>64.3787-398-C-24-R</v>
      </c>
      <c r="D464" s="44"/>
      <c r="E464" s="44" t="s">
        <v>292</v>
      </c>
      <c r="F464" s="44"/>
      <c r="G464" s="44"/>
      <c r="H464" s="44"/>
      <c r="I464" s="47"/>
      <c r="J464" s="45" t="s">
        <v>156</v>
      </c>
      <c r="K464" s="45" t="str">
        <f aca="false">HYPERLINK("https://pub.fsa.gov.ru/rds/declaration/view/18948803/common", "ЕАЭС N RU Д-RU.РА04.В.68862/24")</f>
        <v>ЕАЭС N RU Д-RU.РА04.В.68862/24</v>
      </c>
      <c r="L464" s="46"/>
      <c r="M464" s="45"/>
      <c r="N464" s="47" t="s">
        <v>157</v>
      </c>
      <c r="O464" s="47" t="s">
        <v>158</v>
      </c>
    </row>
    <row r="465" customFormat="false" ht="17.85" hidden="false" customHeight="true" outlineLevel="0" collapsed="false">
      <c r="B465" s="42"/>
      <c r="C465" s="131" t="str">
        <f aca="false">HYPERLINK("https://www.emi-penza.ru/p/67.3787-309-A-24-R", "67.3787-309-A-24-R")</f>
        <v>67.3787-309-A-24-R</v>
      </c>
      <c r="D465" s="44"/>
      <c r="E465" s="44" t="s">
        <v>293</v>
      </c>
      <c r="F465" s="44"/>
      <c r="G465" s="44"/>
      <c r="H465" s="44"/>
      <c r="I465" s="47"/>
      <c r="J465" s="45" t="s">
        <v>156</v>
      </c>
      <c r="K465" s="45" t="str">
        <f aca="false">HYPERLINK("https://pub.fsa.gov.ru/rds/declaration/view/18948803/common", "ЕАЭС N RU Д-RU.РА04.В.68862/24")</f>
        <v>ЕАЭС N RU Д-RU.РА04.В.68862/24</v>
      </c>
      <c r="L465" s="46"/>
      <c r="M465" s="45"/>
      <c r="N465" s="47" t="s">
        <v>157</v>
      </c>
      <c r="O465" s="47" t="s">
        <v>158</v>
      </c>
    </row>
    <row r="466" customFormat="false" ht="17.85" hidden="false" customHeight="true" outlineLevel="0" collapsed="false">
      <c r="B466" s="42"/>
      <c r="C466" s="131" t="str">
        <f aca="false">HYPERLINK("https://www.emi-penza.ru/p/67.3787-309-C-24", "67.3787-309-C-24")</f>
        <v>67.3787-309-C-24</v>
      </c>
      <c r="D466" s="44"/>
      <c r="E466" s="44" t="s">
        <v>294</v>
      </c>
      <c r="F466" s="44"/>
      <c r="G466" s="44"/>
      <c r="H466" s="44"/>
      <c r="I466" s="47"/>
      <c r="J466" s="45" t="s">
        <v>156</v>
      </c>
      <c r="K466" s="45" t="str">
        <f aca="false">HYPERLINK("https://pub.fsa.gov.ru/rds/declaration/view/18948803/common", "ЕАЭС N RU Д-RU.РА04.В.68862/24")</f>
        <v>ЕАЭС N RU Д-RU.РА04.В.68862/24</v>
      </c>
      <c r="L466" s="46"/>
      <c r="M466" s="45"/>
      <c r="N466" s="47" t="s">
        <v>157</v>
      </c>
      <c r="O466" s="47" t="s">
        <v>158</v>
      </c>
    </row>
    <row r="467" customFormat="false" ht="17.85" hidden="false" customHeight="true" outlineLevel="0" collapsed="false">
      <c r="B467" s="42"/>
      <c r="C467" s="131" t="str">
        <f aca="false">HYPERLINK("https://www.emi-penza.ru/p/67.3787-309-C-24-R", "67.3787-309-C-24-R")</f>
        <v>67.3787-309-C-24-R</v>
      </c>
      <c r="D467" s="44"/>
      <c r="E467" s="44" t="s">
        <v>295</v>
      </c>
      <c r="F467" s="44"/>
      <c r="G467" s="44"/>
      <c r="H467" s="44"/>
      <c r="I467" s="47"/>
      <c r="J467" s="45" t="s">
        <v>156</v>
      </c>
      <c r="K467" s="45" t="str">
        <f aca="false">HYPERLINK("https://pub.fsa.gov.ru/rds/declaration/view/18948803/common", "ЕАЭС N RU Д-RU.РА04.В.68862/24")</f>
        <v>ЕАЭС N RU Д-RU.РА04.В.68862/24</v>
      </c>
      <c r="L467" s="46"/>
      <c r="M467" s="45"/>
      <c r="N467" s="47" t="s">
        <v>157</v>
      </c>
      <c r="O467" s="47" t="s">
        <v>158</v>
      </c>
    </row>
    <row r="468" customFormat="false" ht="17.85" hidden="false" customHeight="true" outlineLevel="0" collapsed="false">
      <c r="B468" s="42"/>
      <c r="C468" s="131" t="str">
        <f aca="false">HYPERLINK("https://www.emi-penza.ru/p/98.3777-314-A-24", "98.3777-314-A-24")</f>
        <v>98.3777-314-A-24</v>
      </c>
      <c r="D468" s="44"/>
      <c r="E468" s="44" t="s">
        <v>296</v>
      </c>
      <c r="F468" s="44"/>
      <c r="G468" s="44"/>
      <c r="H468" s="44"/>
      <c r="I468" s="47"/>
      <c r="J468" s="45" t="s">
        <v>156</v>
      </c>
      <c r="K468" s="45" t="str">
        <f aca="false">HYPERLINK("https://pub.fsa.gov.ru/rds/declaration/view/18948803/common", "ЕАЭС N RU Д-RU.РА04.В.68862/24")</f>
        <v>ЕАЭС N RU Д-RU.РА04.В.68862/24</v>
      </c>
      <c r="L468" s="46"/>
      <c r="M468" s="45"/>
      <c r="N468" s="47" t="s">
        <v>157</v>
      </c>
      <c r="O468" s="47" t="s">
        <v>158</v>
      </c>
    </row>
    <row r="469" customFormat="false" ht="17.85" hidden="false" customHeight="true" outlineLevel="0" collapsed="false">
      <c r="B469" s="42"/>
      <c r="C469" s="131" t="str">
        <f aca="false">HYPERLINK("https://www.emi-penza.ru/p/98.3777-314-A-24-D", "98.3777-314-A-24-D")</f>
        <v>98.3777-314-A-24-D</v>
      </c>
      <c r="D469" s="44"/>
      <c r="E469" s="44" t="s">
        <v>297</v>
      </c>
      <c r="F469" s="44"/>
      <c r="G469" s="44"/>
      <c r="H469" s="44"/>
      <c r="I469" s="47"/>
      <c r="J469" s="45" t="s">
        <v>156</v>
      </c>
      <c r="K469" s="45" t="str">
        <f aca="false">HYPERLINK("https://pub.fsa.gov.ru/rds/declaration/view/18948803/common", "ЕАЭС N RU Д-RU.РА04.В.68862/24")</f>
        <v>ЕАЭС N RU Д-RU.РА04.В.68862/24</v>
      </c>
      <c r="L469" s="46"/>
      <c r="M469" s="45"/>
      <c r="N469" s="47" t="s">
        <v>157</v>
      </c>
      <c r="O469" s="47" t="s">
        <v>158</v>
      </c>
    </row>
    <row r="470" customFormat="false" ht="17.85" hidden="false" customHeight="true" outlineLevel="0" collapsed="false">
      <c r="B470" s="42"/>
      <c r="C470" s="131" t="str">
        <f aca="false">HYPERLINK("https://www.emi-penza.ru/p/98.3777-314-C-24", "98.3777-314-C-24")</f>
        <v>98.3777-314-C-24</v>
      </c>
      <c r="D470" s="44"/>
      <c r="E470" s="44" t="s">
        <v>298</v>
      </c>
      <c r="F470" s="44"/>
      <c r="G470" s="44"/>
      <c r="H470" s="44"/>
      <c r="I470" s="47"/>
      <c r="J470" s="45" t="s">
        <v>156</v>
      </c>
      <c r="K470" s="45" t="str">
        <f aca="false">HYPERLINK("https://pub.fsa.gov.ru/rds/declaration/view/18948803/common", "ЕАЭС N RU Д-RU.РА04.В.68862/24")</f>
        <v>ЕАЭС N RU Д-RU.РА04.В.68862/24</v>
      </c>
      <c r="L470" s="46"/>
      <c r="M470" s="45"/>
      <c r="N470" s="47" t="s">
        <v>157</v>
      </c>
      <c r="O470" s="47" t="s">
        <v>158</v>
      </c>
    </row>
    <row r="471" customFormat="false" ht="17.85" hidden="false" customHeight="true" outlineLevel="0" collapsed="false">
      <c r="B471" s="42"/>
      <c r="C471" s="131" t="str">
        <f aca="false">HYPERLINK("https://www.emi-penza.ru/p/98.3777-314-C-24-D", "98.3777-314-C-24-D")</f>
        <v>98.3777-314-C-24-D</v>
      </c>
      <c r="D471" s="44"/>
      <c r="E471" s="44" t="s">
        <v>299</v>
      </c>
      <c r="F471" s="44"/>
      <c r="G471" s="44"/>
      <c r="H471" s="44"/>
      <c r="I471" s="47"/>
      <c r="J471" s="45" t="s">
        <v>156</v>
      </c>
      <c r="K471" s="45" t="str">
        <f aca="false">HYPERLINK("https://pub.fsa.gov.ru/rds/declaration/view/18948803/common", "ЕАЭС N RU Д-RU.РА04.В.68862/24")</f>
        <v>ЕАЭС N RU Д-RU.РА04.В.68862/24</v>
      </c>
      <c r="L471" s="46"/>
      <c r="M471" s="45"/>
      <c r="N471" s="47" t="s">
        <v>157</v>
      </c>
      <c r="O471" s="47" t="s">
        <v>158</v>
      </c>
    </row>
    <row r="472" customFormat="false" ht="17.85" hidden="false" customHeight="true" outlineLevel="0" collapsed="false">
      <c r="B472" s="42"/>
      <c r="C472" s="131" t="str">
        <f aca="false">HYPERLINK("https://www.emi-penza.ru/p/98.3777-314-C-24-R", "98.3777-314-C-24-R")</f>
        <v>98.3777-314-C-24-R</v>
      </c>
      <c r="D472" s="44"/>
      <c r="E472" s="44" t="s">
        <v>300</v>
      </c>
      <c r="F472" s="44"/>
      <c r="G472" s="44"/>
      <c r="H472" s="44"/>
      <c r="I472" s="47"/>
      <c r="J472" s="45" t="s">
        <v>156</v>
      </c>
      <c r="K472" s="45" t="str">
        <f aca="false">HYPERLINK("https://pub.fsa.gov.ru/rds/declaration/view/18948803/common", "ЕАЭС N RU Д-RU.РА04.В.68862/24")</f>
        <v>ЕАЭС N RU Д-RU.РА04.В.68862/24</v>
      </c>
      <c r="L472" s="46"/>
      <c r="M472" s="45"/>
      <c r="N472" s="47" t="s">
        <v>157</v>
      </c>
      <c r="O472" s="47" t="s">
        <v>158</v>
      </c>
    </row>
    <row r="473" customFormat="false" ht="17.85" hidden="false" customHeight="true" outlineLevel="0" collapsed="false">
      <c r="B473" s="42"/>
      <c r="C473" s="131" t="str">
        <f aca="false">HYPERLINK("https://www.emi-penza.ru/p/98.3777-315-C-12", "98.3777-315-C-12")</f>
        <v>98.3777-315-C-12</v>
      </c>
      <c r="D473" s="44"/>
      <c r="E473" s="44" t="s">
        <v>301</v>
      </c>
      <c r="F473" s="44"/>
      <c r="G473" s="44"/>
      <c r="H473" s="44"/>
      <c r="I473" s="47"/>
      <c r="J473" s="45" t="s">
        <v>156</v>
      </c>
      <c r="K473" s="45" t="str">
        <f aca="false">HYPERLINK("https://pub.fsa.gov.ru/rds/declaration/view/18948803/common", "ЕАЭС N RU Д-RU.РА04.В.68862/24")</f>
        <v>ЕАЭС N RU Д-RU.РА04.В.68862/24</v>
      </c>
      <c r="L473" s="46"/>
      <c r="M473" s="45"/>
      <c r="N473" s="47" t="s">
        <v>157</v>
      </c>
      <c r="O473" s="47" t="s">
        <v>158</v>
      </c>
    </row>
    <row r="474" customFormat="false" ht="17.85" hidden="false" customHeight="true" outlineLevel="0" collapsed="false">
      <c r="B474" s="77"/>
      <c r="C474" s="132" t="str">
        <f aca="false">HYPERLINK("https://www.emi-penza.ru/p/98.3777-315-C-24", "98.3777-315-C-24")</f>
        <v>98.3777-315-C-24</v>
      </c>
      <c r="D474" s="77"/>
      <c r="E474" s="77" t="s">
        <v>302</v>
      </c>
      <c r="F474" s="77"/>
      <c r="G474" s="77"/>
      <c r="H474" s="77"/>
      <c r="I474" s="79"/>
      <c r="J474" s="78" t="s">
        <v>156</v>
      </c>
      <c r="K474" s="78" t="str">
        <f aca="false">HYPERLINK("https://pub.fsa.gov.ru/rds/declaration/view/18948803/common", "ЕАЭС N RU Д-RU.РА04.В.68862/24")</f>
        <v>ЕАЭС N RU Д-RU.РА04.В.68862/24</v>
      </c>
      <c r="L474" s="77"/>
      <c r="M474" s="78"/>
      <c r="N474" s="79" t="s">
        <v>157</v>
      </c>
      <c r="O474" s="79" t="s">
        <v>158</v>
      </c>
    </row>
    <row r="475" customFormat="false" ht="9.95" hidden="false" customHeight="true" outlineLevel="0" collapsed="false">
      <c r="B475" s="74"/>
    </row>
    <row r="476" customFormat="false" ht="22.7" hidden="false" customHeight="true" outlineLevel="0" collapsed="false">
      <c r="B476" s="3"/>
      <c r="C476" s="35" t="s">
        <v>303</v>
      </c>
      <c r="D476" s="36"/>
      <c r="E476" s="36"/>
      <c r="F476" s="36"/>
      <c r="G476" s="36"/>
      <c r="H476" s="36"/>
      <c r="I476" s="36"/>
      <c r="J476" s="37"/>
      <c r="K476" s="37"/>
      <c r="L476" s="38"/>
      <c r="M476" s="37"/>
      <c r="N476" s="39"/>
      <c r="O476" s="39"/>
    </row>
    <row r="477" customFormat="false" ht="2.85" hidden="false" customHeight="true" outlineLevel="0" collapsed="false">
      <c r="B477" s="3"/>
    </row>
    <row r="478" customFormat="false" ht="17.85" hidden="false" customHeight="true" outlineLevel="0" collapsed="false">
      <c r="B478" s="40"/>
      <c r="C478" s="43" t="str">
        <f aca="false">HYPERLINK("https://www.emi-penza.ru/p/EMI_113.3.000", "ЭМИ 113.3.000")</f>
        <v>ЭМИ 113.3.000</v>
      </c>
      <c r="D478" s="44"/>
      <c r="E478" s="44" t="s">
        <v>304</v>
      </c>
      <c r="F478" s="44"/>
      <c r="G478" s="44"/>
      <c r="H478" s="44"/>
      <c r="I478" s="47"/>
      <c r="J478" s="45" t="s">
        <v>156</v>
      </c>
      <c r="K478" s="45" t="str">
        <f aca="false">HYPERLINK("https://pub.fsa.gov.ru/rds/declaration/view/18948803/common", "ЕАЭС N RU Д-RU.РА04.В.68862/24")</f>
        <v>ЕАЭС N RU Д-RU.РА04.В.68862/24</v>
      </c>
      <c r="L478" s="46"/>
      <c r="M478" s="45"/>
      <c r="N478" s="47" t="s">
        <v>157</v>
      </c>
      <c r="O478" s="47" t="s">
        <v>158</v>
      </c>
    </row>
    <row r="479" customFormat="false" ht="17.85" hidden="false" customHeight="true" outlineLevel="0" collapsed="false">
      <c r="B479" s="40"/>
      <c r="C479" s="43" t="str">
        <f aca="false">HYPERLINK("https://www.emi-penza.ru/p/EMI_113.3.000-01", "ЭМИ 113.3.000-01")</f>
        <v>ЭМИ 113.3.000-01</v>
      </c>
      <c r="D479" s="44"/>
      <c r="E479" s="44" t="s">
        <v>304</v>
      </c>
      <c r="F479" s="44"/>
      <c r="G479" s="44"/>
      <c r="H479" s="44"/>
      <c r="I479" s="47"/>
      <c r="J479" s="45" t="s">
        <v>156</v>
      </c>
      <c r="K479" s="45" t="str">
        <f aca="false">HYPERLINK("https://pub.fsa.gov.ru/rds/declaration/view/18948803/common", "ЕАЭС N RU Д-RU.РА04.В.68862/24")</f>
        <v>ЕАЭС N RU Д-RU.РА04.В.68862/24</v>
      </c>
      <c r="L479" s="46"/>
      <c r="M479" s="45"/>
      <c r="N479" s="47" t="s">
        <v>157</v>
      </c>
      <c r="O479" s="47" t="s">
        <v>158</v>
      </c>
    </row>
    <row r="480" customFormat="false" ht="17.85" hidden="false" customHeight="true" outlineLevel="0" collapsed="false">
      <c r="B480" s="40"/>
      <c r="C480" s="43" t="str">
        <f aca="false">HYPERLINK("https://www.emi-penza.ru/p/EMI_113.3.000-02", "ЭМИ 113.3.000-02")</f>
        <v>ЭМИ 113.3.000-02</v>
      </c>
      <c r="D480" s="44"/>
      <c r="E480" s="44" t="s">
        <v>305</v>
      </c>
      <c r="F480" s="44"/>
      <c r="G480" s="44"/>
      <c r="H480" s="44"/>
      <c r="I480" s="47"/>
      <c r="J480" s="45" t="s">
        <v>156</v>
      </c>
      <c r="K480" s="45" t="str">
        <f aca="false">HYPERLINK("https://pub.fsa.gov.ru/rds/declaration/view/18948803/common", "ЕАЭС N RU Д-RU.РА04.В.68862/24")</f>
        <v>ЕАЭС N RU Д-RU.РА04.В.68862/24</v>
      </c>
      <c r="L480" s="46"/>
      <c r="M480" s="45"/>
      <c r="N480" s="47" t="s">
        <v>157</v>
      </c>
      <c r="O480" s="47" t="s">
        <v>158</v>
      </c>
    </row>
    <row r="481" customFormat="false" ht="17.85" hidden="false" customHeight="true" outlineLevel="0" collapsed="false">
      <c r="B481" s="40"/>
      <c r="C481" s="88" t="str">
        <f aca="false">HYPERLINK("https://www.emi-penza.ru/p/EMI_113.3.000-03", "ЭМИ 113.3.000-03")</f>
        <v>ЭМИ 113.3.000-03</v>
      </c>
      <c r="D481" s="89"/>
      <c r="E481" s="89" t="s">
        <v>305</v>
      </c>
      <c r="F481" s="89"/>
      <c r="G481" s="89"/>
      <c r="H481" s="89"/>
      <c r="I481" s="90"/>
      <c r="J481" s="91" t="s">
        <v>156</v>
      </c>
      <c r="K481" s="91" t="str">
        <f aca="false">HYPERLINK("https://pub.fsa.gov.ru/rds/declaration/view/18948803/common", "ЕАЭС N RU Д-RU.РА04.В.68862/24")</f>
        <v>ЕАЭС N RU Д-RU.РА04.В.68862/24</v>
      </c>
      <c r="L481" s="92"/>
      <c r="M481" s="91"/>
      <c r="N481" s="90" t="s">
        <v>157</v>
      </c>
      <c r="O481" s="90" t="s">
        <v>158</v>
      </c>
    </row>
    <row r="482" customFormat="false" ht="5.1" hidden="false" customHeight="true" outlineLevel="0" collapsed="false">
      <c r="B482" s="3"/>
      <c r="N482" s="3"/>
      <c r="O482" s="3"/>
    </row>
    <row r="483" customFormat="false" ht="17.85" hidden="false" customHeight="true" outlineLevel="0" collapsed="false">
      <c r="B483" s="40"/>
      <c r="C483" s="43" t="str">
        <f aca="false">HYPERLINK("https://www.emi-penza.ru/p/EMI_57.3.000-02", "ЭМИ 57.3.000-02")</f>
        <v>ЭМИ 57.3.000-02</v>
      </c>
      <c r="D483" s="44"/>
      <c r="E483" s="44"/>
      <c r="F483" s="44"/>
      <c r="G483" s="44"/>
      <c r="H483" s="44"/>
      <c r="I483" s="47"/>
      <c r="J483" s="45" t="s">
        <v>156</v>
      </c>
      <c r="K483" s="45" t="str">
        <f aca="false">HYPERLINK("https://pub.fsa.gov.ru/rds/declaration/view/18948803/common", "ЕАЭС N RU Д-RU.РА04.В.68862/24")</f>
        <v>ЕАЭС N RU Д-RU.РА04.В.68862/24</v>
      </c>
      <c r="L483" s="46"/>
      <c r="M483" s="45"/>
      <c r="N483" s="47" t="s">
        <v>157</v>
      </c>
      <c r="O483" s="47" t="s">
        <v>158</v>
      </c>
    </row>
    <row r="484" customFormat="false" ht="17.85" hidden="false" customHeight="true" outlineLevel="0" collapsed="false">
      <c r="B484" s="40"/>
      <c r="C484" s="43" t="str">
        <f aca="false">HYPERLINK("https://www.emi-penza.ru/p/EMI_57.3.000-03", "ЭМИ 57.3.000-03")</f>
        <v>ЭМИ 57.3.000-03</v>
      </c>
      <c r="D484" s="44"/>
      <c r="E484" s="44"/>
      <c r="F484" s="44"/>
      <c r="G484" s="44"/>
      <c r="H484" s="44"/>
      <c r="I484" s="47"/>
      <c r="J484" s="45" t="s">
        <v>156</v>
      </c>
      <c r="K484" s="45" t="str">
        <f aca="false">HYPERLINK("https://pub.fsa.gov.ru/rds/declaration/view/18948803/common", "ЕАЭС N RU Д-RU.РА04.В.68862/24")</f>
        <v>ЕАЭС N RU Д-RU.РА04.В.68862/24</v>
      </c>
      <c r="L484" s="46"/>
      <c r="M484" s="45"/>
      <c r="N484" s="47" t="s">
        <v>157</v>
      </c>
      <c r="O484" s="47" t="s">
        <v>158</v>
      </c>
    </row>
    <row r="485" customFormat="false" ht="17.85" hidden="false" customHeight="true" outlineLevel="0" collapsed="false">
      <c r="B485" s="40"/>
      <c r="C485" s="43" t="str">
        <f aca="false">HYPERLINK("https://www.emi-penza.ru/p/EMI_57.3.000-07", "ЭМИ 57.3.000-07")</f>
        <v>ЭМИ 57.3.000-07</v>
      </c>
      <c r="D485" s="44"/>
      <c r="E485" s="44"/>
      <c r="F485" s="44"/>
      <c r="G485" s="44"/>
      <c r="H485" s="44"/>
      <c r="I485" s="47"/>
      <c r="J485" s="45" t="s">
        <v>156</v>
      </c>
      <c r="K485" s="45" t="str">
        <f aca="false">HYPERLINK("https://pub.fsa.gov.ru/rds/declaration/view/18948803/common", "ЕАЭС N RU Д-RU.РА04.В.68862/24")</f>
        <v>ЕАЭС N RU Д-RU.РА04.В.68862/24</v>
      </c>
      <c r="L485" s="46"/>
      <c r="M485" s="45"/>
      <c r="N485" s="47" t="s">
        <v>157</v>
      </c>
      <c r="O485" s="47" t="s">
        <v>158</v>
      </c>
    </row>
    <row r="486" customFormat="false" ht="17.85" hidden="false" customHeight="true" outlineLevel="0" collapsed="false">
      <c r="B486" s="40"/>
      <c r="C486" s="88" t="str">
        <f aca="false">HYPERLINK("https://www.emi-penza.ru/p/EMI_57.3.000-09", "ЭМИ 57.3.000-09")</f>
        <v>ЭМИ 57.3.000-09</v>
      </c>
      <c r="D486" s="89"/>
      <c r="E486" s="89"/>
      <c r="F486" s="89"/>
      <c r="G486" s="89"/>
      <c r="H486" s="89"/>
      <c r="I486" s="90"/>
      <c r="J486" s="91" t="s">
        <v>156</v>
      </c>
      <c r="K486" s="91" t="str">
        <f aca="false">HYPERLINK("https://pub.fsa.gov.ru/rds/declaration/view/18948803/common", "ЕАЭС N RU Д-RU.РА04.В.68862/24")</f>
        <v>ЕАЭС N RU Д-RU.РА04.В.68862/24</v>
      </c>
      <c r="L486" s="92"/>
      <c r="M486" s="91"/>
      <c r="N486" s="90" t="s">
        <v>157</v>
      </c>
      <c r="O486" s="90" t="s">
        <v>158</v>
      </c>
    </row>
    <row r="487" customFormat="false" ht="5.1" hidden="false" customHeight="true" outlineLevel="0" collapsed="false">
      <c r="B487" s="3"/>
      <c r="N487" s="3"/>
      <c r="O487" s="3"/>
    </row>
    <row r="488" customFormat="false" ht="17.85" hidden="false" customHeight="true" outlineLevel="0" collapsed="false">
      <c r="B488" s="40"/>
      <c r="C488" s="43" t="str">
        <f aca="false">HYPERLINK("https://www.emi-penza.ru/p/67_671", "серия 67 и 671 (замыкающие)")</f>
        <v>серия 67 и 671 (замыкающие)</v>
      </c>
      <c r="D488" s="44"/>
      <c r="E488" s="44"/>
      <c r="F488" s="44"/>
      <c r="G488" s="44"/>
      <c r="H488" s="44"/>
      <c r="I488" s="47"/>
      <c r="J488" s="45"/>
      <c r="K488" s="45"/>
      <c r="L488" s="46"/>
      <c r="M488" s="45"/>
      <c r="N488" s="47"/>
      <c r="O488" s="47"/>
    </row>
    <row r="489" customFormat="false" ht="17.85" hidden="false" customHeight="true" outlineLevel="0" collapsed="false">
      <c r="B489" s="75"/>
      <c r="C489" s="76" t="str">
        <f aca="false">HYPERLINK("https://www.emi-penza.ru/p/67_671_2", "серия 67 и 671 (переключающие)")</f>
        <v>серия 67 и 671 (переключающие)</v>
      </c>
      <c r="D489" s="77"/>
      <c r="E489" s="77"/>
      <c r="F489" s="77"/>
      <c r="G489" s="77"/>
      <c r="H489" s="77"/>
      <c r="I489" s="79"/>
      <c r="J489" s="78"/>
      <c r="K489" s="78"/>
      <c r="L489" s="77"/>
      <c r="M489" s="78"/>
      <c r="N489" s="79"/>
      <c r="O489" s="79"/>
    </row>
    <row r="490" customFormat="false" ht="9.95" hidden="false" customHeight="true" outlineLevel="0" collapsed="false">
      <c r="B490" s="74"/>
      <c r="N490" s="3"/>
      <c r="O490" s="3"/>
    </row>
    <row r="491" customFormat="false" ht="22.7" hidden="false" customHeight="true" outlineLevel="0" collapsed="false">
      <c r="B491" s="3"/>
      <c r="C491" s="35" t="s">
        <v>306</v>
      </c>
      <c r="D491" s="36"/>
      <c r="E491" s="36"/>
      <c r="F491" s="36"/>
      <c r="G491" s="36"/>
      <c r="H491" s="36"/>
      <c r="I491" s="80"/>
      <c r="J491" s="37"/>
      <c r="K491" s="37"/>
      <c r="L491" s="38"/>
      <c r="M491" s="37"/>
      <c r="N491" s="80"/>
      <c r="O491" s="80"/>
    </row>
    <row r="492" customFormat="false" ht="2.85" hidden="false" customHeight="true" outlineLevel="0" collapsed="false">
      <c r="B492" s="3"/>
      <c r="N492" s="3"/>
      <c r="O492" s="3"/>
    </row>
    <row r="493" customFormat="false" ht="14.15" hidden="false" customHeight="true" outlineLevel="0" collapsed="false">
      <c r="B493" s="96"/>
      <c r="C493" s="49" t="str">
        <f aca="false">HYPERLINK("https://www.emi-penza.ru/p/71.9.000", "71.9.000")</f>
        <v>71.9.000</v>
      </c>
      <c r="D493" s="50"/>
      <c r="E493" s="50"/>
      <c r="F493" s="50"/>
      <c r="G493" s="50"/>
      <c r="H493" s="50"/>
      <c r="I493" s="53"/>
      <c r="J493" s="51" t="s">
        <v>307</v>
      </c>
      <c r="K493" s="51" t="str">
        <f aca="false">HYPERLINK("https://www.emi-penza.ru/-/документы/сертификаты/завод_ЭМИ_справка_от_2026-07-07.pdf", "Справка № 03-137С")</f>
        <v>Справка № 03-137С</v>
      </c>
      <c r="L493" s="52"/>
      <c r="M493" s="51"/>
      <c r="N493" s="53" t="s">
        <v>308</v>
      </c>
      <c r="O493" s="53" t="s">
        <v>309</v>
      </c>
    </row>
    <row r="494" customFormat="false" ht="15" hidden="false" customHeight="true" outlineLevel="0" collapsed="false">
      <c r="B494" s="3"/>
      <c r="C494" s="55"/>
      <c r="D494" s="56"/>
      <c r="E494" s="56"/>
      <c r="F494" s="56"/>
      <c r="G494" s="56"/>
      <c r="H494" s="94" t="s">
        <v>36</v>
      </c>
      <c r="I494" s="59"/>
      <c r="J494" s="57"/>
      <c r="K494" s="57"/>
      <c r="L494" s="58"/>
      <c r="M494" s="57"/>
      <c r="N494" s="59"/>
      <c r="O494" s="59"/>
    </row>
    <row r="495" customFormat="false" ht="14.15" hidden="false" customHeight="true" outlineLevel="0" collapsed="false">
      <c r="B495" s="96"/>
      <c r="C495" s="49" t="str">
        <f aca="false">HYPERLINK("https://www.emi-penza.ru/p/71.9.000-01", "71.9.000-01")</f>
        <v>71.9.000-01</v>
      </c>
      <c r="D495" s="50"/>
      <c r="E495" s="50"/>
      <c r="F495" s="50"/>
      <c r="G495" s="50"/>
      <c r="H495" s="50"/>
      <c r="I495" s="53"/>
      <c r="J495" s="51" t="s">
        <v>307</v>
      </c>
      <c r="K495" s="51" t="str">
        <f aca="false">HYPERLINK("https://www.emi-penza.ru/-/документы/сертификаты/завод_ЭМИ_справка_от_2026-07-07.pdf", "Справка № 03-137С")</f>
        <v>Справка № 03-137С</v>
      </c>
      <c r="L495" s="52"/>
      <c r="M495" s="51"/>
      <c r="N495" s="53" t="s">
        <v>308</v>
      </c>
      <c r="O495" s="53" t="s">
        <v>309</v>
      </c>
    </row>
    <row r="496" customFormat="false" ht="15" hidden="false" customHeight="true" outlineLevel="0" collapsed="false">
      <c r="B496" s="3"/>
      <c r="C496" s="55"/>
      <c r="D496" s="56"/>
      <c r="E496" s="56"/>
      <c r="F496" s="56"/>
      <c r="G496" s="56"/>
      <c r="H496" s="133" t="s">
        <v>36</v>
      </c>
      <c r="I496" s="59"/>
      <c r="J496" s="57"/>
      <c r="K496" s="57"/>
      <c r="L496" s="58"/>
      <c r="M496" s="57"/>
      <c r="N496" s="59"/>
      <c r="O496" s="59"/>
    </row>
    <row r="497" customFormat="false" ht="17.85" hidden="false" customHeight="true" outlineLevel="0" collapsed="false">
      <c r="B497" s="40"/>
      <c r="C497" s="43" t="str">
        <f aca="false">HYPERLINK("https://www.emi-penza.ru/p/G222-10", "Г222-10")</f>
        <v>Г222-10</v>
      </c>
      <c r="D497" s="44"/>
      <c r="E497" s="44"/>
      <c r="F497" s="44"/>
      <c r="G497" s="44"/>
      <c r="H497" s="44"/>
      <c r="I497" s="47"/>
      <c r="J497" s="45" t="s">
        <v>310</v>
      </c>
      <c r="K497" s="45" t="str">
        <f aca="false">HYPERLINK("https://www.emi-penza.ru/-/документы/сертификаты/завод_ЭМИ_справка_от_2026-07-07.pdf", "Справка № 03-137С")</f>
        <v>Справка № 03-137С</v>
      </c>
      <c r="L497" s="46"/>
      <c r="M497" s="45"/>
      <c r="N497" s="47" t="s">
        <v>308</v>
      </c>
      <c r="O497" s="47" t="s">
        <v>309</v>
      </c>
    </row>
    <row r="498" customFormat="false" ht="17.85" hidden="false" customHeight="true" outlineLevel="0" collapsed="false">
      <c r="B498" s="40"/>
      <c r="C498" s="43" t="str">
        <f aca="false">HYPERLINK("https://www.emi-penza.ru/p/G222-11", "Г222-11")</f>
        <v>Г222-11</v>
      </c>
      <c r="D498" s="44"/>
      <c r="E498" s="44"/>
      <c r="F498" s="44"/>
      <c r="G498" s="44"/>
      <c r="H498" s="44"/>
      <c r="I498" s="47"/>
      <c r="J498" s="45" t="s">
        <v>310</v>
      </c>
      <c r="K498" s="45" t="str">
        <f aca="false">HYPERLINK("https://www.emi-penza.ru/-/документы/сертификаты/завод_ЭМИ_справка_от_2026-07-07.pdf", "Справка № 03-137С")</f>
        <v>Справка № 03-137С</v>
      </c>
      <c r="L498" s="46"/>
      <c r="M498" s="45"/>
      <c r="N498" s="47" t="s">
        <v>308</v>
      </c>
      <c r="O498" s="47" t="s">
        <v>309</v>
      </c>
    </row>
    <row r="499" customFormat="false" ht="17.85" hidden="false" customHeight="true" outlineLevel="0" collapsed="false">
      <c r="B499" s="40"/>
      <c r="C499" s="43" t="str">
        <f aca="false">HYPERLINK("https://www.emi-penza.ru/p/zaklepki_i_kontakty", "заклёпки и контакты")</f>
        <v>заклёпки и контакты</v>
      </c>
      <c r="D499" s="44"/>
      <c r="E499" s="44"/>
      <c r="F499" s="44"/>
      <c r="G499" s="44"/>
      <c r="H499" s="44"/>
      <c r="I499" s="47"/>
      <c r="J499" s="45"/>
      <c r="K499" s="45"/>
      <c r="L499" s="46"/>
      <c r="M499" s="45"/>
      <c r="N499" s="47"/>
      <c r="O499" s="47"/>
    </row>
    <row r="500" customFormat="false" ht="17.85" hidden="false" customHeight="true" outlineLevel="0" collapsed="false">
      <c r="B500" s="40"/>
      <c r="C500" s="43" t="str">
        <f aca="false">HYPERLINK("https://www.emi-penza.ru/p/koltza", "кольца")</f>
        <v>кольца</v>
      </c>
      <c r="D500" s="44"/>
      <c r="E500" s="44"/>
      <c r="F500" s="44"/>
      <c r="G500" s="44"/>
      <c r="H500" s="44"/>
      <c r="I500" s="47"/>
      <c r="J500" s="45"/>
      <c r="K500" s="45"/>
      <c r="L500" s="46"/>
      <c r="M500" s="45"/>
      <c r="N500" s="47"/>
      <c r="O500" s="47"/>
    </row>
    <row r="501" customFormat="false" ht="17.85" hidden="false" customHeight="true" outlineLevel="0" collapsed="false">
      <c r="B501" s="40"/>
      <c r="C501" s="43" t="str">
        <f aca="false">HYPERLINK("https://www.emi-penza.ru/p/korpusa", "пластмассовые корпуса")</f>
        <v>пластмассовые корпуса</v>
      </c>
      <c r="D501" s="44"/>
      <c r="E501" s="44"/>
      <c r="F501" s="44"/>
      <c r="G501" s="44"/>
      <c r="H501" s="44"/>
      <c r="I501" s="47"/>
      <c r="J501" s="45" t="s">
        <v>307</v>
      </c>
      <c r="K501" s="45" t="str">
        <f aca="false">HYPERLINK("https://www.emi-penza.ru/-/документы/сертификаты/завод_ЭМИ_справка_от_2026-07-07.pdf", "Справка № 03-137С")</f>
        <v>Справка № 03-137С</v>
      </c>
      <c r="L501" s="46"/>
      <c r="M501" s="45"/>
      <c r="N501" s="47" t="s">
        <v>308</v>
      </c>
      <c r="O501" s="47" t="s">
        <v>309</v>
      </c>
    </row>
    <row r="502" customFormat="false" ht="17.85" hidden="false" customHeight="true" outlineLevel="0" collapsed="false">
      <c r="B502" s="40"/>
      <c r="C502" s="43" t="str">
        <f aca="false">HYPERLINK("https://www.emi-penza.ru/p/poplavky", "поплавки")</f>
        <v>поплавки</v>
      </c>
      <c r="D502" s="44"/>
      <c r="E502" s="44"/>
      <c r="F502" s="44"/>
      <c r="G502" s="44"/>
      <c r="H502" s="44"/>
      <c r="I502" s="47"/>
      <c r="J502" s="45" t="s">
        <v>311</v>
      </c>
      <c r="K502" s="45" t="str">
        <f aca="false">HYPERLINK("https://www.emi-penza.ru/-/документы/сертификаты/завод_ЭМИ_справка_от_2026-07-07.pdf", "Справка № 03-137С")</f>
        <v>Справка № 03-137С</v>
      </c>
      <c r="L502" s="46"/>
      <c r="M502" s="45"/>
      <c r="N502" s="47" t="s">
        <v>308</v>
      </c>
      <c r="O502" s="47" t="s">
        <v>309</v>
      </c>
    </row>
    <row r="503" customFormat="false" ht="14.15" hidden="false" customHeight="true" outlineLevel="0" collapsed="false">
      <c r="B503" s="96"/>
      <c r="C503" s="49" t="str">
        <f aca="false">HYPERLINK("https://www.emi-penza.ru/p/pruzhiny", "пружины")</f>
        <v>пружины</v>
      </c>
      <c r="E503" s="50"/>
      <c r="F503" s="50"/>
      <c r="G503" s="50"/>
      <c r="H503" s="50"/>
      <c r="I503" s="53"/>
      <c r="J503" s="51" t="s">
        <v>312</v>
      </c>
      <c r="K503" s="51" t="str">
        <f aca="false">HYPERLINK("https://www.emi-penza.ru/-/документы/сертификаты/завод_ЭМИ_справка_от_2026-07-07.pdf", "Справка № 03-137С")</f>
        <v>Справка № 03-137С</v>
      </c>
      <c r="L503" s="52"/>
      <c r="M503" s="51"/>
      <c r="N503" s="53" t="s">
        <v>308</v>
      </c>
      <c r="O503" s="53" t="s">
        <v>309</v>
      </c>
    </row>
    <row r="504" customFormat="false" ht="15" hidden="false" customHeight="true" outlineLevel="0" collapsed="false">
      <c r="B504" s="3"/>
      <c r="C504" s="55"/>
      <c r="D504" s="56"/>
      <c r="E504" s="56"/>
      <c r="F504" s="56"/>
      <c r="G504" s="56"/>
      <c r="H504" s="56"/>
      <c r="I504" s="59"/>
      <c r="J504" s="57" t="s">
        <v>313</v>
      </c>
      <c r="K504" s="57"/>
      <c r="L504" s="58"/>
      <c r="M504" s="57"/>
      <c r="N504" s="59"/>
      <c r="O504" s="59"/>
    </row>
    <row r="505" customFormat="false" ht="17.85" hidden="false" customHeight="true" outlineLevel="0" collapsed="false">
      <c r="B505" s="77"/>
      <c r="C505" s="76" t="str">
        <f aca="false">HYPERLINK("https://www.emi-penza.ru/p/tamponnaya_pechat", "тампонная печать")</f>
        <v>тампонная печать</v>
      </c>
      <c r="D505" s="77"/>
      <c r="E505" s="77"/>
      <c r="F505" s="77"/>
      <c r="G505" s="77"/>
      <c r="H505" s="77"/>
      <c r="I505" s="79"/>
      <c r="J505" s="78"/>
      <c r="K505" s="78"/>
      <c r="L505" s="77"/>
      <c r="M505" s="78"/>
      <c r="N505" s="79"/>
      <c r="O505" s="79"/>
    </row>
    <row r="506" customFormat="false" ht="27.35" hidden="false" customHeight="true" outlineLevel="0" collapsed="false">
      <c r="B506" s="74"/>
    </row>
    <row r="507" customFormat="false" ht="22.7" hidden="false" customHeight="true" outlineLevel="0" collapsed="false">
      <c r="B507" s="134"/>
      <c r="C507" s="135" t="s">
        <v>314</v>
      </c>
      <c r="D507" s="136"/>
      <c r="E507" s="136"/>
      <c r="F507" s="136"/>
      <c r="G507" s="136"/>
      <c r="H507" s="136"/>
      <c r="I507" s="136"/>
      <c r="J507" s="137"/>
      <c r="K507" s="137"/>
      <c r="L507" s="138"/>
      <c r="M507" s="137"/>
      <c r="N507" s="139"/>
      <c r="O507" s="139"/>
      <c r="P507" s="134"/>
    </row>
    <row r="508" customFormat="false" ht="2.85" hidden="false" customHeight="true" outlineLevel="0" collapsed="false">
      <c r="B508" s="134"/>
      <c r="C508" s="140"/>
      <c r="D508" s="134"/>
      <c r="E508" s="134"/>
      <c r="F508" s="134"/>
      <c r="G508" s="134"/>
      <c r="H508" s="134"/>
      <c r="I508" s="141"/>
      <c r="J508" s="142"/>
      <c r="K508" s="142"/>
      <c r="L508" s="143"/>
      <c r="M508" s="142"/>
      <c r="N508" s="144"/>
      <c r="O508" s="144"/>
      <c r="P508" s="134"/>
    </row>
    <row r="509" customFormat="false" ht="63.2" hidden="false" customHeight="true" outlineLevel="0" collapsed="false">
      <c r="B509" s="134"/>
      <c r="C509" s="145" t="s">
        <v>315</v>
      </c>
      <c r="D509" s="145"/>
      <c r="E509" s="145"/>
      <c r="F509" s="145"/>
      <c r="G509" s="145"/>
      <c r="H509" s="145"/>
      <c r="I509" s="145"/>
      <c r="J509" s="145"/>
      <c r="K509" s="145"/>
      <c r="L509" s="146"/>
      <c r="M509" s="147"/>
      <c r="N509" s="148"/>
      <c r="O509" s="148"/>
      <c r="P509" s="134"/>
    </row>
    <row r="510" customFormat="false" ht="14.05" hidden="false" customHeight="true" outlineLevel="0" collapsed="false">
      <c r="B510" s="134"/>
      <c r="C510" s="149" t="s">
        <v>316</v>
      </c>
      <c r="D510" s="150"/>
      <c r="E510" s="150"/>
      <c r="F510" s="150"/>
      <c r="G510" s="150"/>
      <c r="H510" s="150"/>
      <c r="I510" s="151"/>
      <c r="J510" s="147"/>
      <c r="K510" s="147"/>
      <c r="L510" s="146"/>
      <c r="M510" s="147"/>
      <c r="N510" s="148"/>
      <c r="O510" s="148"/>
      <c r="P510" s="134"/>
    </row>
    <row r="511" customFormat="false" ht="7.4" hidden="false" customHeight="true" outlineLevel="0" collapsed="false">
      <c r="B511" s="134"/>
      <c r="C511" s="140"/>
      <c r="D511" s="150"/>
      <c r="E511" s="150"/>
      <c r="F511" s="150"/>
      <c r="G511" s="150"/>
      <c r="H511" s="150"/>
      <c r="I511" s="151"/>
      <c r="J511" s="147"/>
      <c r="K511" s="147"/>
      <c r="L511" s="146"/>
      <c r="M511" s="147"/>
      <c r="N511" s="148"/>
      <c r="O511" s="152"/>
      <c r="P511" s="134"/>
    </row>
    <row r="512" customFormat="false" ht="42.5" hidden="false" customHeight="true" outlineLevel="0" collapsed="false">
      <c r="B512" s="3"/>
      <c r="C512" s="2" t="s">
        <v>317</v>
      </c>
      <c r="M512" s="153"/>
    </row>
    <row r="513" customFormat="false" ht="12.8" hidden="false" customHeight="false" outlineLevel="0" collapsed="false">
      <c r="B513" s="3"/>
      <c r="C513" s="2" t="s">
        <v>318</v>
      </c>
      <c r="O513" s="154"/>
    </row>
    <row r="514" customFormat="false" ht="12.8" hidden="false" customHeight="false" outlineLevel="0" collapsed="false">
      <c r="B514" s="3"/>
      <c r="C514" s="2" t="s">
        <v>319</v>
      </c>
      <c r="O514" s="154"/>
    </row>
    <row r="515" customFormat="false" ht="15" hidden="false" customHeight="true" outlineLevel="0" collapsed="false">
      <c r="B515" s="3"/>
    </row>
    <row r="516" customFormat="false" ht="14.1" hidden="false" customHeight="true" outlineLevel="0" collapsed="false">
      <c r="B516" s="3"/>
      <c r="C516" s="155" t="str">
        <f aca="false">HYPERLINK("https://www.emi-penza.ru/documents", "Список сертификатов на сайте ЭМИ")</f>
        <v>Список сертификатов на сайте ЭМИ</v>
      </c>
      <c r="D516" s="155"/>
      <c r="E516" s="155"/>
      <c r="F516" s="155"/>
      <c r="G516" s="155"/>
    </row>
    <row r="517" customFormat="false" ht="13.5" hidden="false" customHeight="true" outlineLevel="0" collapsed="false">
      <c r="B517" s="3"/>
    </row>
    <row r="518" customFormat="false" ht="12.8" hidden="false" customHeight="false" outlineLevel="0" collapsed="false">
      <c r="B518" s="3"/>
    </row>
    <row r="519" customFormat="false" ht="12.8" hidden="false" customHeight="false" outlineLevel="0" collapsed="false">
      <c r="B519" s="3"/>
    </row>
    <row r="520" customFormat="false" ht="12.8" hidden="false" customHeight="false" outlineLevel="0" collapsed="false">
      <c r="B520" s="3"/>
    </row>
    <row r="521" customFormat="false" ht="12.8" hidden="false" customHeight="false" outlineLevel="0" collapsed="false">
      <c r="B521" s="3"/>
    </row>
    <row r="522" customFormat="false" ht="12.8" hidden="false" customHeight="false" outlineLevel="0" collapsed="false">
      <c r="B522" s="3"/>
    </row>
    <row r="523" customFormat="false" ht="12.8" hidden="false" customHeight="false" outlineLevel="0" collapsed="false">
      <c r="B523" s="3"/>
    </row>
    <row r="524" customFormat="false" ht="12.8" hidden="false" customHeight="false" outlineLevel="0" collapsed="false">
      <c r="B524" s="3"/>
    </row>
    <row r="525" customFormat="false" ht="12.8" hidden="false" customHeight="false" outlineLevel="0" collapsed="false">
      <c r="B525" s="3"/>
    </row>
    <row r="526" customFormat="false" ht="12.8" hidden="false" customHeight="false" outlineLevel="0" collapsed="false">
      <c r="B526" s="3"/>
    </row>
    <row r="527" customFormat="false" ht="12.8" hidden="false" customHeight="false" outlineLevel="0" collapsed="false">
      <c r="B527" s="3"/>
    </row>
    <row r="528" customFormat="false" ht="12.8" hidden="false" customHeight="false" outlineLevel="0" collapsed="false">
      <c r="B528" s="3"/>
    </row>
    <row r="529" customFormat="false" ht="12.8" hidden="false" customHeight="false" outlineLevel="0" collapsed="false">
      <c r="B529" s="3"/>
    </row>
    <row r="530" customFormat="false" ht="12.8" hidden="false" customHeight="false" outlineLevel="0" collapsed="false">
      <c r="B530" s="3"/>
    </row>
    <row r="531" customFormat="false" ht="12.8" hidden="false" customHeight="false" outlineLevel="0" collapsed="false">
      <c r="B531" s="3"/>
    </row>
    <row r="532" customFormat="false" ht="12.8" hidden="false" customHeight="false" outlineLevel="0" collapsed="false">
      <c r="B532" s="3"/>
    </row>
    <row r="533" customFormat="false" ht="12.8" hidden="false" customHeight="false" outlineLevel="0" collapsed="false">
      <c r="B533" s="3"/>
    </row>
    <row r="534" customFormat="false" ht="12.8" hidden="false" customHeight="false" outlineLevel="0" collapsed="false">
      <c r="B534" s="3"/>
    </row>
    <row r="535" customFormat="false" ht="12.8" hidden="false" customHeight="false" outlineLevel="0" collapsed="false">
      <c r="B535" s="3"/>
    </row>
    <row r="536" customFormat="false" ht="12.8" hidden="false" customHeight="false" outlineLevel="0" collapsed="false">
      <c r="B536" s="3"/>
    </row>
    <row r="537" customFormat="false" ht="12.8" hidden="false" customHeight="false" outlineLevel="0" collapsed="false">
      <c r="B537" s="3"/>
    </row>
    <row r="538" customFormat="false" ht="12.8" hidden="false" customHeight="false" outlineLevel="0" collapsed="false">
      <c r="B538" s="3"/>
    </row>
    <row r="539" customFormat="false" ht="12.8" hidden="false" customHeight="false" outlineLevel="0" collapsed="false">
      <c r="B539" s="3"/>
    </row>
    <row r="540" customFormat="false" ht="12.8" hidden="false" customHeight="false" outlineLevel="0" collapsed="false">
      <c r="B540" s="3"/>
    </row>
    <row r="541" customFormat="false" ht="12.8" hidden="false" customHeight="false" outlineLevel="0" collapsed="false">
      <c r="B541" s="3"/>
    </row>
    <row r="542" customFormat="false" ht="12.8" hidden="false" customHeight="false" outlineLevel="0" collapsed="false">
      <c r="B542" s="3"/>
    </row>
    <row r="543" customFormat="false" ht="12.8" hidden="false" customHeight="false" outlineLevel="0" collapsed="false">
      <c r="B543" s="3"/>
    </row>
    <row r="544" customFormat="false" ht="12.8" hidden="false" customHeight="false" outlineLevel="0" collapsed="false">
      <c r="B544" s="3"/>
    </row>
    <row r="545" customFormat="false" ht="12.8" hidden="false" customHeight="false" outlineLevel="0" collapsed="false">
      <c r="B545" s="3"/>
    </row>
    <row r="546" customFormat="false" ht="12.8" hidden="false" customHeight="false" outlineLevel="0" collapsed="false">
      <c r="B546" s="3"/>
    </row>
    <row r="547" customFormat="false" ht="12.8" hidden="false" customHeight="false" outlineLevel="0" collapsed="false">
      <c r="B547" s="3"/>
    </row>
    <row r="548" customFormat="false" ht="12.8" hidden="false" customHeight="false" outlineLevel="0" collapsed="false">
      <c r="B548" s="3"/>
    </row>
    <row r="549" customFormat="false" ht="12.8" hidden="false" customHeight="false" outlineLevel="0" collapsed="false">
      <c r="B549" s="3"/>
    </row>
    <row r="550" customFormat="false" ht="12.8" hidden="false" customHeight="false" outlineLevel="0" collapsed="false">
      <c r="B550" s="3"/>
    </row>
    <row r="551" customFormat="false" ht="12.8" hidden="false" customHeight="false" outlineLevel="0" collapsed="false">
      <c r="B551" s="3"/>
    </row>
    <row r="552" customFormat="false" ht="12.8" hidden="false" customHeight="false" outlineLevel="0" collapsed="false">
      <c r="B552" s="3"/>
    </row>
    <row r="553" customFormat="false" ht="12.8" hidden="false" customHeight="false" outlineLevel="0" collapsed="false">
      <c r="B553" s="3"/>
    </row>
    <row r="554" customFormat="false" ht="12.8" hidden="false" customHeight="false" outlineLevel="0" collapsed="false">
      <c r="B554" s="3"/>
    </row>
    <row r="555" customFormat="false" ht="12.8" hidden="false" customHeight="false" outlineLevel="0" collapsed="false">
      <c r="B555" s="3"/>
    </row>
    <row r="556" customFormat="false" ht="12.8" hidden="false" customHeight="false" outlineLevel="0" collapsed="false">
      <c r="B556" s="3"/>
    </row>
    <row r="557" customFormat="false" ht="12.8" hidden="false" customHeight="false" outlineLevel="0" collapsed="false">
      <c r="B557" s="3"/>
    </row>
    <row r="558" customFormat="false" ht="12.8" hidden="false" customHeight="false" outlineLevel="0" collapsed="false">
      <c r="B558" s="3"/>
    </row>
    <row r="559" customFormat="false" ht="12.8" hidden="false" customHeight="false" outlineLevel="0" collapsed="false">
      <c r="B559" s="3"/>
    </row>
    <row r="560" customFormat="false" ht="12.8" hidden="false" customHeight="false" outlineLevel="0" collapsed="false">
      <c r="B560" s="3"/>
    </row>
    <row r="561" customFormat="false" ht="12.8" hidden="false" customHeight="false" outlineLevel="0" collapsed="false">
      <c r="B561" s="3"/>
    </row>
    <row r="562" customFormat="false" ht="12.8" hidden="false" customHeight="false" outlineLevel="0" collapsed="false">
      <c r="B562" s="3"/>
    </row>
    <row r="563" customFormat="false" ht="12.8" hidden="false" customHeight="false" outlineLevel="0" collapsed="false">
      <c r="B563" s="3"/>
    </row>
    <row r="564" customFormat="false" ht="12.8" hidden="false" customHeight="false" outlineLevel="0" collapsed="false">
      <c r="B564" s="3"/>
    </row>
    <row r="565" customFormat="false" ht="12.8" hidden="false" customHeight="false" outlineLevel="0" collapsed="false">
      <c r="B565" s="3"/>
    </row>
    <row r="566" customFormat="false" ht="12.8" hidden="false" customHeight="false" outlineLevel="0" collapsed="false">
      <c r="B566" s="3"/>
    </row>
    <row r="567" customFormat="false" ht="12.8" hidden="false" customHeight="false" outlineLevel="0" collapsed="false">
      <c r="B567" s="3"/>
    </row>
    <row r="568" customFormat="false" ht="12.8" hidden="false" customHeight="false" outlineLevel="0" collapsed="false">
      <c r="B568" s="3"/>
    </row>
    <row r="569" customFormat="false" ht="12.8" hidden="false" customHeight="false" outlineLevel="0" collapsed="false">
      <c r="B569" s="3"/>
    </row>
    <row r="570" customFormat="false" ht="12.8" hidden="false" customHeight="false" outlineLevel="0" collapsed="false">
      <c r="B570" s="3"/>
    </row>
    <row r="571" customFormat="false" ht="12.8" hidden="false" customHeight="false" outlineLevel="0" collapsed="false">
      <c r="B571" s="3"/>
    </row>
    <row r="572" customFormat="false" ht="12.8" hidden="false" customHeight="false" outlineLevel="0" collapsed="false">
      <c r="B572" s="3"/>
    </row>
    <row r="573" customFormat="false" ht="12.8" hidden="false" customHeight="false" outlineLevel="0" collapsed="false">
      <c r="B573" s="3"/>
    </row>
    <row r="574" customFormat="false" ht="12.8" hidden="false" customHeight="false" outlineLevel="0" collapsed="false">
      <c r="B574" s="3"/>
    </row>
    <row r="575" customFormat="false" ht="12.8" hidden="false" customHeight="false" outlineLevel="0" collapsed="false">
      <c r="B575" s="3"/>
    </row>
    <row r="576" customFormat="false" ht="12.8" hidden="false" customHeight="false" outlineLevel="0" collapsed="false">
      <c r="B576" s="3"/>
    </row>
    <row r="577" customFormat="false" ht="12.8" hidden="false" customHeight="false" outlineLevel="0" collapsed="false">
      <c r="B577" s="3"/>
    </row>
    <row r="578" customFormat="false" ht="12.8" hidden="false" customHeight="false" outlineLevel="0" collapsed="false">
      <c r="B578" s="3"/>
    </row>
    <row r="579" customFormat="false" ht="12.8" hidden="false" customHeight="false" outlineLevel="0" collapsed="false">
      <c r="B579" s="3"/>
    </row>
    <row r="580" customFormat="false" ht="12.8" hidden="false" customHeight="false" outlineLevel="0" collapsed="false">
      <c r="B580" s="3"/>
    </row>
    <row r="581" customFormat="false" ht="12.8" hidden="false" customHeight="false" outlineLevel="0" collapsed="false">
      <c r="B581" s="3"/>
    </row>
    <row r="582" customFormat="false" ht="12.8" hidden="false" customHeight="false" outlineLevel="0" collapsed="false">
      <c r="B582" s="3"/>
    </row>
    <row r="583" customFormat="false" ht="12.8" hidden="false" customHeight="false" outlineLevel="0" collapsed="false">
      <c r="B583" s="3"/>
    </row>
    <row r="584" customFormat="false" ht="12.8" hidden="false" customHeight="false" outlineLevel="0" collapsed="false">
      <c r="B584" s="3"/>
    </row>
    <row r="585" customFormat="false" ht="12.8" hidden="false" customHeight="false" outlineLevel="0" collapsed="false">
      <c r="B585" s="3"/>
    </row>
    <row r="586" customFormat="false" ht="12.8" hidden="false" customHeight="false" outlineLevel="0" collapsed="false">
      <c r="B586" s="3"/>
    </row>
    <row r="587" customFormat="false" ht="12.8" hidden="false" customHeight="false" outlineLevel="0" collapsed="false">
      <c r="B587" s="3"/>
    </row>
    <row r="588" customFormat="false" ht="12.8" hidden="false" customHeight="false" outlineLevel="0" collapsed="false">
      <c r="B588" s="3"/>
    </row>
    <row r="589" customFormat="false" ht="12.8" hidden="false" customHeight="false" outlineLevel="0" collapsed="false">
      <c r="B589" s="3"/>
    </row>
    <row r="590" customFormat="false" ht="12.8" hidden="false" customHeight="false" outlineLevel="0" collapsed="false">
      <c r="B590" s="3"/>
    </row>
    <row r="591" customFormat="false" ht="12.8" hidden="false" customHeight="false" outlineLevel="0" collapsed="false">
      <c r="B591" s="3"/>
    </row>
    <row r="592" customFormat="false" ht="12.8" hidden="false" customHeight="false" outlineLevel="0" collapsed="false">
      <c r="B592" s="3"/>
    </row>
    <row r="593" customFormat="false" ht="12.8" hidden="false" customHeight="false" outlineLevel="0" collapsed="false">
      <c r="B593" s="3"/>
    </row>
    <row r="594" customFormat="false" ht="12.8" hidden="false" customHeight="false" outlineLevel="0" collapsed="false">
      <c r="B594" s="3"/>
    </row>
    <row r="595" customFormat="false" ht="12.8" hidden="false" customHeight="false" outlineLevel="0" collapsed="false">
      <c r="B595" s="3"/>
    </row>
    <row r="596" customFormat="false" ht="12.8" hidden="false" customHeight="false" outlineLevel="0" collapsed="false">
      <c r="B596" s="3"/>
    </row>
    <row r="597" customFormat="false" ht="12.8" hidden="false" customHeight="false" outlineLevel="0" collapsed="false">
      <c r="B597" s="3"/>
    </row>
    <row r="598" customFormat="false" ht="12.8" hidden="false" customHeight="false" outlineLevel="0" collapsed="false">
      <c r="B598" s="3"/>
    </row>
    <row r="599" customFormat="false" ht="12.8" hidden="false" customHeight="false" outlineLevel="0" collapsed="false">
      <c r="B599" s="3"/>
    </row>
    <row r="600" customFormat="false" ht="12.8" hidden="false" customHeight="false" outlineLevel="0" collapsed="false">
      <c r="B600" s="3"/>
    </row>
    <row r="601" customFormat="false" ht="12.8" hidden="false" customHeight="false" outlineLevel="0" collapsed="false">
      <c r="B601" s="3"/>
    </row>
    <row r="602" customFormat="false" ht="12.8" hidden="false" customHeight="false" outlineLevel="0" collapsed="false">
      <c r="B602" s="3"/>
    </row>
    <row r="603" customFormat="false" ht="12.8" hidden="false" customHeight="false" outlineLevel="0" collapsed="false">
      <c r="B603" s="3"/>
    </row>
    <row r="604" customFormat="false" ht="12.8" hidden="false" customHeight="false" outlineLevel="0" collapsed="false">
      <c r="B604" s="3"/>
    </row>
    <row r="605" customFormat="false" ht="12.8" hidden="false" customHeight="false" outlineLevel="0" collapsed="false">
      <c r="B605" s="3"/>
    </row>
    <row r="606" customFormat="false" ht="12.8" hidden="false" customHeight="false" outlineLevel="0" collapsed="false">
      <c r="B606" s="3"/>
    </row>
    <row r="607" customFormat="false" ht="12.8" hidden="false" customHeight="false" outlineLevel="0" collapsed="false">
      <c r="B607" s="3"/>
    </row>
    <row r="608" customFormat="false" ht="12.8" hidden="false" customHeight="false" outlineLevel="0" collapsed="false">
      <c r="B608" s="3"/>
    </row>
    <row r="609" customFormat="false" ht="12.8" hidden="false" customHeight="false" outlineLevel="0" collapsed="false">
      <c r="B609" s="3"/>
    </row>
    <row r="610" customFormat="false" ht="12.8" hidden="false" customHeight="false" outlineLevel="0" collapsed="false">
      <c r="B610" s="3"/>
    </row>
    <row r="611" customFormat="false" ht="12.8" hidden="false" customHeight="false" outlineLevel="0" collapsed="false">
      <c r="B611" s="3"/>
    </row>
    <row r="612" customFormat="false" ht="12.8" hidden="false" customHeight="false" outlineLevel="0" collapsed="false">
      <c r="B612" s="3"/>
    </row>
    <row r="613" customFormat="false" ht="12.8" hidden="false" customHeight="false" outlineLevel="0" collapsed="false">
      <c r="B613" s="3"/>
    </row>
    <row r="614" customFormat="false" ht="12.8" hidden="false" customHeight="false" outlineLevel="0" collapsed="false">
      <c r="B614" s="3"/>
    </row>
    <row r="615" customFormat="false" ht="12.8" hidden="false" customHeight="false" outlineLevel="0" collapsed="false">
      <c r="B615" s="3"/>
    </row>
    <row r="616" customFormat="false" ht="12.8" hidden="false" customHeight="false" outlineLevel="0" collapsed="false">
      <c r="B616" s="3"/>
    </row>
    <row r="617" customFormat="false" ht="12.8" hidden="false" customHeight="false" outlineLevel="0" collapsed="false">
      <c r="B617" s="3"/>
    </row>
    <row r="618" customFormat="false" ht="12.8" hidden="false" customHeight="false" outlineLevel="0" collapsed="false">
      <c r="B618" s="3"/>
    </row>
    <row r="619" customFormat="false" ht="12.8" hidden="false" customHeight="false" outlineLevel="0" collapsed="false">
      <c r="B619" s="3"/>
    </row>
    <row r="620" customFormat="false" ht="12.8" hidden="false" customHeight="false" outlineLevel="0" collapsed="false">
      <c r="B620" s="3"/>
    </row>
    <row r="621" customFormat="false" ht="12.8" hidden="false" customHeight="false" outlineLevel="0" collapsed="false">
      <c r="B621" s="3"/>
    </row>
    <row r="622" customFormat="false" ht="12.8" hidden="false" customHeight="false" outlineLevel="0" collapsed="false">
      <c r="B622" s="3"/>
    </row>
    <row r="623" customFormat="false" ht="12.8" hidden="false" customHeight="false" outlineLevel="0" collapsed="false">
      <c r="B623" s="3"/>
    </row>
    <row r="624" customFormat="false" ht="12.8" hidden="false" customHeight="false" outlineLevel="0" collapsed="false">
      <c r="B624" s="3"/>
    </row>
    <row r="625" customFormat="false" ht="12.8" hidden="false" customHeight="false" outlineLevel="0" collapsed="false">
      <c r="B625" s="3"/>
    </row>
    <row r="626" customFormat="false" ht="12.8" hidden="false" customHeight="false" outlineLevel="0" collapsed="false">
      <c r="B626" s="3"/>
    </row>
    <row r="627" customFormat="false" ht="12.8" hidden="false" customHeight="false" outlineLevel="0" collapsed="false">
      <c r="B627" s="3"/>
    </row>
    <row r="628" customFormat="false" ht="12.8" hidden="false" customHeight="false" outlineLevel="0" collapsed="false">
      <c r="B628" s="3"/>
    </row>
    <row r="629" customFormat="false" ht="12.8" hidden="false" customHeight="false" outlineLevel="0" collapsed="false">
      <c r="B629" s="3"/>
    </row>
    <row r="630" customFormat="false" ht="12.8" hidden="false" customHeight="false" outlineLevel="0" collapsed="false">
      <c r="B630" s="3"/>
    </row>
    <row r="631" customFormat="false" ht="12.8" hidden="false" customHeight="false" outlineLevel="0" collapsed="false">
      <c r="B631" s="3"/>
    </row>
    <row r="632" customFormat="false" ht="12.8" hidden="false" customHeight="false" outlineLevel="0" collapsed="false">
      <c r="B632" s="3"/>
    </row>
    <row r="633" customFormat="false" ht="12.8" hidden="false" customHeight="false" outlineLevel="0" collapsed="false">
      <c r="B633" s="3"/>
    </row>
    <row r="634" customFormat="false" ht="12.8" hidden="false" customHeight="false" outlineLevel="0" collapsed="false">
      <c r="B634" s="3"/>
    </row>
    <row r="635" customFormat="false" ht="12.8" hidden="false" customHeight="false" outlineLevel="0" collapsed="false">
      <c r="B635" s="3"/>
    </row>
    <row r="636" customFormat="false" ht="12.8" hidden="false" customHeight="false" outlineLevel="0" collapsed="false">
      <c r="B636" s="3"/>
    </row>
    <row r="637" customFormat="false" ht="12.8" hidden="false" customHeight="false" outlineLevel="0" collapsed="false">
      <c r="B637" s="3"/>
    </row>
    <row r="638" customFormat="false" ht="12.8" hidden="false" customHeight="false" outlineLevel="0" collapsed="false">
      <c r="B638" s="3"/>
    </row>
    <row r="639" customFormat="false" ht="12.8" hidden="false" customHeight="false" outlineLevel="0" collapsed="false">
      <c r="B639" s="3"/>
    </row>
    <row r="640" customFormat="false" ht="12.8" hidden="false" customHeight="false" outlineLevel="0" collapsed="false">
      <c r="B640" s="3"/>
    </row>
    <row r="641" customFormat="false" ht="12.8" hidden="false" customHeight="false" outlineLevel="0" collapsed="false">
      <c r="B641" s="3"/>
    </row>
    <row r="642" customFormat="false" ht="12.8" hidden="false" customHeight="false" outlineLevel="0" collapsed="false">
      <c r="B642" s="3"/>
    </row>
    <row r="643" customFormat="false" ht="12.8" hidden="false" customHeight="false" outlineLevel="0" collapsed="false">
      <c r="B643" s="3"/>
    </row>
    <row r="644" customFormat="false" ht="12.8" hidden="false" customHeight="false" outlineLevel="0" collapsed="false">
      <c r="B644" s="3"/>
    </row>
    <row r="645" customFormat="false" ht="12.8" hidden="false" customHeight="false" outlineLevel="0" collapsed="false">
      <c r="B645" s="3"/>
    </row>
    <row r="646" customFormat="false" ht="12.8" hidden="false" customHeight="false" outlineLevel="0" collapsed="false">
      <c r="B646" s="3"/>
    </row>
    <row r="647" customFormat="false" ht="12.8" hidden="false" customHeight="false" outlineLevel="0" collapsed="false">
      <c r="B647" s="3"/>
    </row>
    <row r="648" customFormat="false" ht="12.8" hidden="false" customHeight="false" outlineLevel="0" collapsed="false">
      <c r="B648" s="3"/>
    </row>
    <row r="649" customFormat="false" ht="12.8" hidden="false" customHeight="false" outlineLevel="0" collapsed="false">
      <c r="B649" s="3"/>
    </row>
    <row r="650" customFormat="false" ht="12.8" hidden="false" customHeight="false" outlineLevel="0" collapsed="false">
      <c r="B650" s="3"/>
    </row>
    <row r="651" customFormat="false" ht="12.8" hidden="false" customHeight="false" outlineLevel="0" collapsed="false">
      <c r="B651" s="3"/>
    </row>
    <row r="652" customFormat="false" ht="12.8" hidden="false" customHeight="false" outlineLevel="0" collapsed="false">
      <c r="B652" s="3"/>
    </row>
    <row r="653" customFormat="false" ht="12.8" hidden="false" customHeight="false" outlineLevel="0" collapsed="false">
      <c r="B653" s="3"/>
    </row>
    <row r="654" customFormat="false" ht="12.8" hidden="false" customHeight="false" outlineLevel="0" collapsed="false">
      <c r="B654" s="3"/>
    </row>
    <row r="655" customFormat="false" ht="12.8" hidden="false" customHeight="false" outlineLevel="0" collapsed="false">
      <c r="B655" s="3"/>
    </row>
    <row r="656" customFormat="false" ht="12.8" hidden="false" customHeight="false" outlineLevel="0" collapsed="false">
      <c r="B656" s="3"/>
    </row>
    <row r="657" customFormat="false" ht="12.8" hidden="false" customHeight="false" outlineLevel="0" collapsed="false">
      <c r="B657" s="3"/>
    </row>
    <row r="658" customFormat="false" ht="12.8" hidden="false" customHeight="false" outlineLevel="0" collapsed="false">
      <c r="B658" s="3"/>
    </row>
    <row r="659" customFormat="false" ht="12.8" hidden="false" customHeight="false" outlineLevel="0" collapsed="false">
      <c r="B659" s="3"/>
    </row>
    <row r="660" customFormat="false" ht="12.8" hidden="false" customHeight="false" outlineLevel="0" collapsed="false">
      <c r="B660" s="3"/>
    </row>
    <row r="661" customFormat="false" ht="12.8" hidden="false" customHeight="false" outlineLevel="0" collapsed="false">
      <c r="B661" s="3"/>
    </row>
    <row r="662" customFormat="false" ht="12.8" hidden="false" customHeight="false" outlineLevel="0" collapsed="false">
      <c r="B662" s="3"/>
    </row>
    <row r="663" customFormat="false" ht="12.8" hidden="false" customHeight="false" outlineLevel="0" collapsed="false">
      <c r="B663" s="3"/>
    </row>
    <row r="664" customFormat="false" ht="12.8" hidden="false" customHeight="false" outlineLevel="0" collapsed="false">
      <c r="B664" s="3"/>
    </row>
    <row r="665" customFormat="false" ht="12.8" hidden="false" customHeight="false" outlineLevel="0" collapsed="false">
      <c r="B665" s="3"/>
    </row>
    <row r="666" customFormat="false" ht="12.8" hidden="false" customHeight="false" outlineLevel="0" collapsed="false">
      <c r="B666" s="3"/>
    </row>
    <row r="667" customFormat="false" ht="12.8" hidden="false" customHeight="false" outlineLevel="0" collapsed="false">
      <c r="B667" s="3"/>
    </row>
    <row r="668" customFormat="false" ht="12.8" hidden="false" customHeight="false" outlineLevel="0" collapsed="false">
      <c r="B668" s="3"/>
    </row>
    <row r="669" customFormat="false" ht="12.8" hidden="false" customHeight="false" outlineLevel="0" collapsed="false">
      <c r="B669" s="3"/>
    </row>
    <row r="670" customFormat="false" ht="12.8" hidden="false" customHeight="false" outlineLevel="0" collapsed="false">
      <c r="B670" s="3"/>
    </row>
    <row r="671" customFormat="false" ht="12.8" hidden="false" customHeight="false" outlineLevel="0" collapsed="false">
      <c r="B671" s="3"/>
    </row>
    <row r="672" customFormat="false" ht="12.8" hidden="false" customHeight="false" outlineLevel="0" collapsed="false">
      <c r="B672" s="3"/>
    </row>
    <row r="673" customFormat="false" ht="12.8" hidden="false" customHeight="false" outlineLevel="0" collapsed="false">
      <c r="B673" s="3"/>
    </row>
    <row r="674" customFormat="false" ht="12.8" hidden="false" customHeight="false" outlineLevel="0" collapsed="false">
      <c r="B674" s="3"/>
    </row>
    <row r="675" customFormat="false" ht="12.8" hidden="false" customHeight="false" outlineLevel="0" collapsed="false">
      <c r="B675" s="3"/>
    </row>
    <row r="676" customFormat="false" ht="12.8" hidden="false" customHeight="false" outlineLevel="0" collapsed="false">
      <c r="B676" s="3"/>
    </row>
    <row r="677" customFormat="false" ht="12.8" hidden="false" customHeight="false" outlineLevel="0" collapsed="false">
      <c r="B677" s="3"/>
    </row>
    <row r="678" customFormat="false" ht="12.8" hidden="false" customHeight="false" outlineLevel="0" collapsed="false">
      <c r="B678" s="3"/>
    </row>
    <row r="679" customFormat="false" ht="12.8" hidden="false" customHeight="false" outlineLevel="0" collapsed="false">
      <c r="B679" s="3"/>
    </row>
    <row r="680" customFormat="false" ht="12.8" hidden="false" customHeight="false" outlineLevel="0" collapsed="false">
      <c r="B680" s="3"/>
    </row>
    <row r="681" customFormat="false" ht="12.8" hidden="false" customHeight="false" outlineLevel="0" collapsed="false">
      <c r="B681" s="3"/>
    </row>
    <row r="682" customFormat="false" ht="12.8" hidden="false" customHeight="false" outlineLevel="0" collapsed="false">
      <c r="B682" s="3"/>
    </row>
    <row r="683" customFormat="false" ht="12.8" hidden="false" customHeight="false" outlineLevel="0" collapsed="false">
      <c r="B683" s="3"/>
    </row>
    <row r="684" customFormat="false" ht="12.8" hidden="false" customHeight="false" outlineLevel="0" collapsed="false">
      <c r="B684" s="3"/>
    </row>
    <row r="685" customFormat="false" ht="12.8" hidden="false" customHeight="false" outlineLevel="0" collapsed="false">
      <c r="B685" s="3"/>
    </row>
    <row r="686" customFormat="false" ht="12.8" hidden="false" customHeight="false" outlineLevel="0" collapsed="false">
      <c r="B686" s="3"/>
    </row>
    <row r="687" customFormat="false" ht="12.8" hidden="false" customHeight="false" outlineLevel="0" collapsed="false">
      <c r="B687" s="3"/>
    </row>
    <row r="688" customFormat="false" ht="12.8" hidden="false" customHeight="false" outlineLevel="0" collapsed="false">
      <c r="B688" s="3"/>
    </row>
    <row r="689" customFormat="false" ht="12.8" hidden="false" customHeight="false" outlineLevel="0" collapsed="false">
      <c r="B689" s="3"/>
    </row>
    <row r="690" customFormat="false" ht="12.8" hidden="false" customHeight="false" outlineLevel="0" collapsed="false">
      <c r="B690" s="3"/>
    </row>
    <row r="691" customFormat="false" ht="12.8" hidden="false" customHeight="false" outlineLevel="0" collapsed="false">
      <c r="B691" s="3"/>
    </row>
    <row r="692" customFormat="false" ht="12.8" hidden="false" customHeight="false" outlineLevel="0" collapsed="false">
      <c r="B692" s="3"/>
    </row>
    <row r="693" customFormat="false" ht="12.8" hidden="false" customHeight="false" outlineLevel="0" collapsed="false">
      <c r="B693" s="3"/>
    </row>
    <row r="694" customFormat="false" ht="12.8" hidden="false" customHeight="false" outlineLevel="0" collapsed="false">
      <c r="B694" s="3"/>
    </row>
    <row r="695" customFormat="false" ht="12.8" hidden="false" customHeight="false" outlineLevel="0" collapsed="false">
      <c r="B695" s="3"/>
    </row>
    <row r="696" customFormat="false" ht="12.8" hidden="false" customHeight="false" outlineLevel="0" collapsed="false">
      <c r="B696" s="3"/>
    </row>
    <row r="697" customFormat="false" ht="12.8" hidden="false" customHeight="false" outlineLevel="0" collapsed="false">
      <c r="B697" s="3"/>
    </row>
    <row r="698" customFormat="false" ht="12.8" hidden="false" customHeight="false" outlineLevel="0" collapsed="false">
      <c r="B698" s="3"/>
    </row>
    <row r="699" customFormat="false" ht="12.8" hidden="false" customHeight="false" outlineLevel="0" collapsed="false">
      <c r="B699" s="3"/>
    </row>
    <row r="700" customFormat="false" ht="12.8" hidden="false" customHeight="false" outlineLevel="0" collapsed="false">
      <c r="B700" s="3"/>
    </row>
    <row r="701" customFormat="false" ht="12.8" hidden="false" customHeight="false" outlineLevel="0" collapsed="false">
      <c r="B701" s="3"/>
    </row>
    <row r="702" customFormat="false" ht="12.8" hidden="false" customHeight="false" outlineLevel="0" collapsed="false">
      <c r="B702" s="3"/>
    </row>
    <row r="703" customFormat="false" ht="12.8" hidden="false" customHeight="false" outlineLevel="0" collapsed="false">
      <c r="B703" s="3"/>
    </row>
    <row r="704" customFormat="false" ht="12.8" hidden="false" customHeight="false" outlineLevel="0" collapsed="false">
      <c r="B704" s="3"/>
    </row>
  </sheetData>
  <mergeCells count="12">
    <mergeCell ref="M3:N3"/>
    <mergeCell ref="L4:L5"/>
    <mergeCell ref="M4:N5"/>
    <mergeCell ref="M6:N6"/>
    <mergeCell ref="C9:I12"/>
    <mergeCell ref="J11:O11"/>
    <mergeCell ref="N12:O12"/>
    <mergeCell ref="C139:O139"/>
    <mergeCell ref="N141:O141"/>
    <mergeCell ref="N452:O452"/>
    <mergeCell ref="C509:K509"/>
    <mergeCell ref="C516:G516"/>
  </mergeCells>
  <printOptions headings="false" gridLines="false" gridLinesSet="true" horizontalCentered="true" verticalCentered="false"/>
  <pageMargins left="0.39375" right="0.39375" top="0.236111111111111" bottom="0.590277777777778" header="0.511811023622047" footer="0.3937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&amp;Lверсия от 24 августа 2026 года&amp;R&amp;"Calibri,Regular"&amp;11страница &amp;P из &amp;N </oddFooter>
  </headerFooter>
  <rowBreaks count="9" manualBreakCount="9">
    <brk id="71" man="true" max="16383" min="0"/>
    <brk id="89" man="true" max="16383" min="0"/>
    <brk id="136" man="true" max="16383" min="0"/>
    <brk id="182" man="true" max="16383" min="0"/>
    <brk id="246" man="true" max="16383" min="0"/>
    <brk id="308" man="true" max="16383" min="0"/>
    <brk id="359" man="true" max="16383" min="0"/>
    <brk id="403" man="true" max="16383" min="0"/>
    <brk id="455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9190</TotalTime>
  <Application>LibreOffice/25.2.5.2$Linux_X86_64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2018-02-22T07:48:57Z</dcterms:created>
  <dc:creator/>
  <dc:description>https://www.emi-penza.ru/</dc:description>
  <cp:keywords>сертификация декларация о соответствии сертификат соответствия ТН ВЭД Электромехизмерение ЭМИ датчики выключатели регуляторы напряжения реле</cp:keywords>
  <dc:language>en-GB</dc:language>
  <cp:lastModifiedBy/>
  <cp:lastPrinted>2025-03-02T02:27:47Z</cp:lastPrinted>
  <dcterms:modified xsi:type="dcterms:W3CDTF">2026-08-22T03:03:36Z</dcterms:modified>
  <cp:revision>539</cp:revision>
  <dc:subject/>
  <dc:title>Сертификация продукции – Пензенский завод ЭМИ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ProgId">
    <vt:lpwstr>Excel.Sheet</vt:lpwstr>
  </property>
  <property fmtid="{D5CDD505-2E9C-101B-9397-08002B2CF9AE}" pid="4" name="Title">
    <vt:lpwstr>Сертификация продукции – Пензенский завод ЭМИ</vt:lpwstr>
  </property>
</Properties>
</file>